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GUBA87551\Desktop\Budget Development\"/>
    </mc:Choice>
  </mc:AlternateContent>
  <bookViews>
    <workbookView xWindow="0" yWindow="0" windowWidth="19200" windowHeight="6300" tabRatio="892" activeTab="1"/>
  </bookViews>
  <sheets>
    <sheet name="Cover" sheetId="13" r:id="rId1"/>
    <sheet name="FY20 Budget Planning" sheetId="6" r:id="rId2"/>
    <sheet name="Operational-AA" sheetId="4" r:id="rId3"/>
    <sheet name="Operational-SA" sheetId="1" r:id="rId4"/>
    <sheet name="Operational Admin Serv" sheetId="2" r:id="rId5"/>
    <sheet name="Operational IT" sheetId="3" r:id="rId6"/>
    <sheet name="Operational President Office" sheetId="5" r:id="rId7"/>
    <sheet name="PROP 301" sheetId="11" r:id="rId8"/>
    <sheet name="CAP. TECH" sheetId="7" r:id="rId9"/>
    <sheet name="OCC CAPITAL" sheetId="8" r:id="rId10"/>
    <sheet name="CAP. NON-TECH " sheetId="9" r:id="rId11"/>
    <sheet name="Fund230 Budget Planning" sheetId="14" r:id="rId12"/>
    <sheet name="Facilities Furniture" sheetId="10" state="hidden" r:id="rId13"/>
  </sheets>
  <externalReferences>
    <externalReference r:id="rId14"/>
  </externalReferences>
  <definedNames>
    <definedName name="_xlnm.Print_Area" localSheetId="10">'CAP. NON-TECH '!$A$1:$T$10</definedName>
    <definedName name="_xlnm.Print_Area" localSheetId="8">'CAP. TECH'!$A$1:$U$21</definedName>
    <definedName name="_xlnm.Print_Area" localSheetId="0">Cover!$A$4:$S$35</definedName>
    <definedName name="_xlnm.Print_Area" localSheetId="12">'Facilities Furniture'!$A$1:$R$25</definedName>
    <definedName name="_xlnm.Print_Area" localSheetId="1">'FY20 Budget Planning'!$A$71:$T$120</definedName>
    <definedName name="_xlnm.Print_Area" localSheetId="9">'OCC CAPITAL'!$A$1:$T$24</definedName>
    <definedName name="_xlnm.Print_Area" localSheetId="4">'Operational Admin Serv'!$A$1:$R$6</definedName>
    <definedName name="_xlnm.Print_Area" localSheetId="5">'Operational IT'!$A$1:$R$6</definedName>
    <definedName name="_xlnm.Print_Area" localSheetId="6">'Operational President Office'!$A$1:$R$19</definedName>
    <definedName name="_xlnm.Print_Area" localSheetId="2">'Operational-AA'!$A$1:$R$86</definedName>
    <definedName name="_xlnm.Print_Area" localSheetId="3">'Operational-SA'!$A$1:$R$20</definedName>
    <definedName name="_xlnm.Print_Area" localSheetId="7">'PROP 301'!$A$1:$S$21</definedName>
    <definedName name="_xlnm.Print_Titles" localSheetId="10">'CAP. NON-TECH '!$1:$2</definedName>
    <definedName name="_xlnm.Print_Titles" localSheetId="8">'CAP. TECH'!$1:$2</definedName>
    <definedName name="_xlnm.Print_Titles" localSheetId="12">'Facilities Furniture'!$1:$2</definedName>
    <definedName name="_xlnm.Print_Titles" localSheetId="9">'OCC CAPITAL'!$1:$2</definedName>
    <definedName name="_xlnm.Print_Titles" localSheetId="4">'Operational Admin Serv'!$2:$2</definedName>
    <definedName name="_xlnm.Print_Titles" localSheetId="5">'Operational IT'!$2:$2</definedName>
    <definedName name="_xlnm.Print_Titles" localSheetId="6">'Operational President Office'!$2:$2</definedName>
    <definedName name="_xlnm.Print_Titles" localSheetId="2">'Operational-AA'!$1:$2</definedName>
    <definedName name="_xlnm.Print_Titles" localSheetId="3">'Operational-SA'!$2:$2</definedName>
    <definedName name="_xlnm.Print_Titles" localSheetId="7">'PROP 301'!$1:$2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9" l="1"/>
  <c r="S5" i="9"/>
  <c r="S4" i="9"/>
  <c r="S3" i="9"/>
  <c r="S21" i="8"/>
  <c r="S20" i="8"/>
  <c r="S18" i="8"/>
  <c r="S17" i="8"/>
  <c r="S16" i="8"/>
  <c r="S15" i="8"/>
  <c r="S14" i="8"/>
  <c r="S13" i="8"/>
  <c r="S12" i="8"/>
  <c r="S11" i="8"/>
  <c r="S10" i="8"/>
  <c r="S7" i="8"/>
  <c r="S5" i="8"/>
  <c r="S6" i="8"/>
  <c r="S4" i="8"/>
  <c r="T11" i="7"/>
  <c r="T10" i="7"/>
  <c r="T9" i="7"/>
  <c r="T8" i="7"/>
  <c r="T7" i="7"/>
  <c r="T6" i="7"/>
  <c r="T5" i="7"/>
  <c r="T4" i="7"/>
  <c r="T3" i="7"/>
  <c r="R20" i="11"/>
  <c r="R19" i="11"/>
  <c r="R18" i="11"/>
  <c r="R17" i="11"/>
  <c r="R15" i="11"/>
  <c r="R11" i="11"/>
  <c r="R10" i="11"/>
  <c r="R9" i="11"/>
  <c r="R5" i="11"/>
  <c r="R4" i="11"/>
  <c r="R3" i="11"/>
  <c r="Q18" i="5"/>
  <c r="R17" i="5"/>
  <c r="R16" i="5"/>
  <c r="R15" i="5"/>
  <c r="R13" i="5"/>
  <c r="Q11" i="5"/>
  <c r="Q10" i="5"/>
  <c r="Q9" i="5"/>
  <c r="Q8" i="5"/>
  <c r="Q7" i="5"/>
  <c r="Q6" i="5"/>
  <c r="Q5" i="5"/>
  <c r="Q4" i="5"/>
  <c r="Q4" i="3"/>
  <c r="Q3" i="3"/>
  <c r="Q4" i="2"/>
  <c r="Q3" i="2"/>
  <c r="R14" i="1"/>
  <c r="R13" i="1"/>
  <c r="R12" i="1"/>
  <c r="R11" i="1"/>
  <c r="Q19" i="1"/>
  <c r="Q18" i="1"/>
  <c r="Q17" i="1"/>
  <c r="Q16" i="1"/>
  <c r="Q15" i="1"/>
  <c r="Q14" i="1"/>
  <c r="Q13" i="1"/>
  <c r="Q12" i="1"/>
  <c r="Q11" i="1"/>
  <c r="Q10" i="1"/>
  <c r="Q9" i="1"/>
  <c r="Q8" i="1"/>
  <c r="Q7" i="1"/>
  <c r="Q6" i="1"/>
  <c r="Q5" i="1"/>
  <c r="Q4" i="1"/>
  <c r="Q3" i="1"/>
  <c r="Q86" i="4"/>
  <c r="Q9" i="4"/>
  <c r="Q5" i="4"/>
  <c r="Q6" i="4"/>
  <c r="Q7" i="4"/>
  <c r="Q4"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10" i="4"/>
  <c r="R5" i="4"/>
  <c r="R6" i="4"/>
  <c r="R7" i="4"/>
  <c r="R4" i="4"/>
  <c r="C18" i="14" l="1"/>
  <c r="C16" i="14"/>
  <c r="C12" i="14"/>
  <c r="C7" i="14"/>
  <c r="L86" i="6" l="1"/>
  <c r="T90" i="6" l="1"/>
  <c r="O19" i="5"/>
  <c r="S86" i="6"/>
  <c r="N86" i="4"/>
  <c r="O86" i="4"/>
  <c r="O84" i="4"/>
  <c r="S81" i="6" l="1"/>
  <c r="S80" i="6"/>
  <c r="S79" i="6"/>
  <c r="S78" i="6"/>
  <c r="T98" i="6"/>
  <c r="S77" i="6"/>
  <c r="T97" i="6"/>
  <c r="S76" i="6"/>
  <c r="Q81" i="6"/>
  <c r="S25" i="10" l="1"/>
  <c r="S10" i="9"/>
  <c r="Q24" i="8" l="1"/>
  <c r="S22" i="8"/>
  <c r="S8" i="8"/>
  <c r="R21" i="11"/>
  <c r="Q19" i="5"/>
  <c r="S24" i="8" l="1"/>
  <c r="Q6" i="3"/>
  <c r="Q6" i="2"/>
  <c r="N9" i="4"/>
  <c r="O9" i="4"/>
  <c r="Q20" i="1"/>
  <c r="B96" i="6"/>
  <c r="T21" i="7"/>
  <c r="Q21" i="7"/>
  <c r="P21" i="7"/>
  <c r="B95" i="6" l="1"/>
  <c r="B120" i="6"/>
  <c r="B119" i="6"/>
  <c r="B118" i="6"/>
  <c r="T114" i="6"/>
  <c r="T113" i="6"/>
  <c r="T112" i="6"/>
  <c r="B117" i="6"/>
  <c r="B116" i="6"/>
  <c r="B113" i="6"/>
  <c r="B114" i="6"/>
  <c r="B111" i="6" l="1"/>
  <c r="R102" i="6" l="1"/>
  <c r="Q22" i="8"/>
  <c r="R91" i="6"/>
  <c r="R104" i="6" l="1"/>
  <c r="P21" i="11"/>
  <c r="O21" i="11"/>
  <c r="O3" i="5"/>
  <c r="O18" i="5"/>
  <c r="L81" i="6"/>
  <c r="T104" i="2" l="1"/>
  <c r="T104" i="3"/>
  <c r="S104" i="2"/>
  <c r="S104" i="3"/>
  <c r="T93" i="6" l="1"/>
  <c r="T94" i="6" s="1"/>
  <c r="S93" i="6"/>
  <c r="S94" i="6" s="1"/>
  <c r="Q25" i="10" l="1"/>
  <c r="P25" i="10"/>
  <c r="O10" i="9"/>
  <c r="P6" i="9"/>
  <c r="P10" i="9" s="1"/>
  <c r="P22" i="8"/>
  <c r="P24" i="8" s="1"/>
  <c r="Q8" i="8"/>
  <c r="P8" i="8"/>
  <c r="T102" i="6"/>
  <c r="S102" i="6"/>
  <c r="L89" i="6" l="1"/>
  <c r="J117" i="6" l="1"/>
  <c r="B105" i="6"/>
  <c r="J104" i="6"/>
  <c r="L103" i="6"/>
  <c r="L104" i="6" s="1"/>
  <c r="K103" i="6"/>
  <c r="K104" i="6" s="1"/>
  <c r="L101" i="6"/>
  <c r="K101" i="6"/>
  <c r="J101" i="6"/>
  <c r="L98" i="6"/>
  <c r="K98" i="6"/>
  <c r="J98" i="6"/>
  <c r="B97" i="6"/>
  <c r="L95" i="6"/>
  <c r="K95" i="6"/>
  <c r="J95" i="6"/>
  <c r="K89" i="6"/>
  <c r="J89" i="6"/>
  <c r="J81" i="6"/>
  <c r="F81" i="6"/>
  <c r="F79" i="6" s="1"/>
  <c r="K78" i="6"/>
  <c r="K81" i="6" s="1"/>
  <c r="I78" i="6"/>
  <c r="I81" i="6" s="1"/>
  <c r="H78" i="6"/>
  <c r="H81" i="6" s="1"/>
  <c r="H67" i="6"/>
  <c r="G64" i="6" s="1"/>
  <c r="G67" i="6" s="1"/>
  <c r="F64" i="6" s="1"/>
  <c r="F67" i="6" s="1"/>
  <c r="E64" i="6" s="1"/>
  <c r="E67" i="6" s="1"/>
  <c r="C64" i="6" s="1"/>
  <c r="C67" i="6" s="1"/>
  <c r="B64" i="6" s="1"/>
  <c r="B66" i="6"/>
  <c r="I66" i="6" s="1"/>
  <c r="B65" i="6"/>
  <c r="I65" i="6" s="1"/>
  <c r="H59" i="6"/>
  <c r="G56" i="6" s="1"/>
  <c r="G59" i="6" s="1"/>
  <c r="F56" i="6" s="1"/>
  <c r="F59" i="6" s="1"/>
  <c r="E56" i="6" s="1"/>
  <c r="E59" i="6" s="1"/>
  <c r="C56" i="6" s="1"/>
  <c r="C59" i="6" s="1"/>
  <c r="B56" i="6" s="1"/>
  <c r="B58" i="6"/>
  <c r="I58" i="6" s="1"/>
  <c r="B57" i="6"/>
  <c r="I57" i="6" s="1"/>
  <c r="H53" i="6"/>
  <c r="H52" i="6" s="1"/>
  <c r="G52" i="6"/>
  <c r="F51" i="6"/>
  <c r="F52" i="6" s="1"/>
  <c r="E51" i="6"/>
  <c r="E52" i="6" s="1"/>
  <c r="C51" i="6"/>
  <c r="C52" i="6" s="1"/>
  <c r="B51" i="6"/>
  <c r="B52" i="6" s="1"/>
  <c r="B48" i="6"/>
  <c r="H47" i="6"/>
  <c r="H48" i="6" s="1"/>
  <c r="G47" i="6"/>
  <c r="G48" i="6" s="1"/>
  <c r="F47" i="6"/>
  <c r="F48" i="6" s="1"/>
  <c r="E47" i="6"/>
  <c r="C47" i="6"/>
  <c r="C48" i="6" s="1"/>
  <c r="I46" i="6"/>
  <c r="H42" i="6"/>
  <c r="G42" i="6"/>
  <c r="F42" i="6"/>
  <c r="E42" i="6"/>
  <c r="C42" i="6"/>
  <c r="B41" i="6"/>
  <c r="I41" i="6" s="1"/>
  <c r="B40" i="6"/>
  <c r="I40" i="6" s="1"/>
  <c r="B37" i="6"/>
  <c r="I36" i="6"/>
  <c r="H35" i="6"/>
  <c r="H37" i="6" s="1"/>
  <c r="G35" i="6"/>
  <c r="F35" i="6"/>
  <c r="E35" i="6"/>
  <c r="C35" i="6"/>
  <c r="C37" i="6" s="1"/>
  <c r="G34" i="6"/>
  <c r="G37" i="6" s="1"/>
  <c r="F34" i="6"/>
  <c r="F37" i="6" s="1"/>
  <c r="E34" i="6"/>
  <c r="E37" i="6" s="1"/>
  <c r="H31" i="6"/>
  <c r="G31" i="6"/>
  <c r="F31" i="6"/>
  <c r="E31" i="6"/>
  <c r="C31" i="6"/>
  <c r="B31" i="6"/>
  <c r="I30" i="6"/>
  <c r="I29" i="6"/>
  <c r="H24" i="6"/>
  <c r="G24" i="6"/>
  <c r="F24" i="6"/>
  <c r="E24" i="6"/>
  <c r="C24" i="6"/>
  <c r="B24" i="6"/>
  <c r="I23" i="6"/>
  <c r="I22" i="6"/>
  <c r="I17" i="6"/>
  <c r="H16" i="6"/>
  <c r="H18" i="6" s="1"/>
  <c r="G16" i="6"/>
  <c r="G18" i="6" s="1"/>
  <c r="F16" i="6"/>
  <c r="F18" i="6" s="1"/>
  <c r="E16" i="6"/>
  <c r="E18" i="6" s="1"/>
  <c r="C16" i="6"/>
  <c r="C18" i="6" s="1"/>
  <c r="B16" i="6"/>
  <c r="B18" i="6" s="1"/>
  <c r="J11" i="6"/>
  <c r="B6" i="6"/>
  <c r="B4" i="6" s="1"/>
  <c r="B9" i="6" s="1"/>
  <c r="N19" i="5"/>
  <c r="S90" i="6" s="1"/>
  <c r="T86" i="6" l="1"/>
  <c r="L105" i="6"/>
  <c r="B87" i="6" s="1"/>
  <c r="F78" i="6"/>
  <c r="I47" i="6"/>
  <c r="J105" i="6"/>
  <c r="I35" i="6"/>
  <c r="B7" i="6"/>
  <c r="K105" i="6"/>
  <c r="B106" i="6"/>
  <c r="L107" i="6"/>
  <c r="I52" i="6"/>
  <c r="B42" i="6"/>
  <c r="F77" i="6"/>
  <c r="F80" i="6"/>
  <c r="F76" i="6"/>
  <c r="S86" i="2" l="1"/>
  <c r="S86" i="3"/>
  <c r="L108" i="6"/>
  <c r="N6" i="3" l="1"/>
  <c r="S89" i="6" s="1"/>
  <c r="O6" i="3"/>
  <c r="T89" i="6" s="1"/>
  <c r="O6" i="2" l="1"/>
  <c r="T88" i="6" s="1"/>
  <c r="N6" i="2"/>
  <c r="S88" i="6" s="1"/>
  <c r="O6" i="1" l="1"/>
  <c r="O5" i="1"/>
  <c r="O4" i="1"/>
  <c r="O3" i="1"/>
  <c r="O8" i="1"/>
  <c r="O7" i="1"/>
  <c r="O9" i="1"/>
  <c r="O10" i="1"/>
  <c r="O20" i="1" l="1"/>
  <c r="T87" i="6"/>
  <c r="T91" i="6" s="1"/>
  <c r="T104" i="6" s="1"/>
  <c r="N20" i="1"/>
  <c r="S87" i="6" s="1"/>
  <c r="S91" i="6" s="1"/>
  <c r="S104" i="6" s="1"/>
  <c r="M79" i="6" l="1"/>
  <c r="M78" i="6"/>
  <c r="M80" i="6"/>
  <c r="M77" i="6"/>
  <c r="M76" i="6"/>
  <c r="B86" i="6"/>
  <c r="B90" i="6" s="1"/>
  <c r="B99" i="6" s="1"/>
  <c r="M81" i="6" l="1"/>
</calcChain>
</file>

<file path=xl/sharedStrings.xml><?xml version="1.0" encoding="utf-8"?>
<sst xmlns="http://schemas.openxmlformats.org/spreadsheetml/2006/main" count="2924" uniqueCount="1068">
  <si>
    <t xml:space="preserve">FY20 COLLEGE BUDGET DEVELOPMENT - STUDENT SERVICES </t>
  </si>
  <si>
    <t>Budget ID</t>
  </si>
  <si>
    <t>Planning Unit Manager</t>
  </si>
  <si>
    <t>GLCode</t>
  </si>
  <si>
    <t>Account Number</t>
  </si>
  <si>
    <t>Account Name</t>
  </si>
  <si>
    <t>Division</t>
  </si>
  <si>
    <t>Budget Request Title</t>
  </si>
  <si>
    <t>Justification</t>
  </si>
  <si>
    <t>Funding Type</t>
  </si>
  <si>
    <t>College Priority</t>
  </si>
  <si>
    <t xml:space="preserve">Approved Last Year </t>
  </si>
  <si>
    <t>Permanent Fund Expected</t>
  </si>
  <si>
    <t>Budget Priority</t>
  </si>
  <si>
    <t>Requested Amount</t>
  </si>
  <si>
    <t>Recomd'ed Amount</t>
  </si>
  <si>
    <t xml:space="preserve">Priority Number </t>
  </si>
  <si>
    <t xml:space="preserve">OPERATIONAL FUND </t>
  </si>
  <si>
    <t>Love, Iris</t>
  </si>
  <si>
    <t>110-PVMAINCA-801600_STDNT_SV</t>
  </si>
  <si>
    <t>Disability Resources And Servi</t>
  </si>
  <si>
    <t>SA</t>
  </si>
  <si>
    <t>DRS Clerical Support</t>
  </si>
  <si>
    <t>Disability Resources and Services requires private, uninterrupted, one on one meetings for students with DRS Manager and DRS Academic Advisor.  Staff needed to cover the office and answer phones, schedule appointments, and assist with updating and maintaining files. Staff also needs to cover when manager and FT-staff attend committee meetings, lunch, vacation, and/or out sick. The office needs to be covered 100% of the time during office hours. DRS needs to maintain business operations that reflects a model of best practices.  This includes customer service, forms, documents, presentations, community awareness events, faculty awareness presentations, high school visits, informative DRS Websites, and Canvas page.</t>
  </si>
  <si>
    <t>Operational - Personnel</t>
  </si>
  <si>
    <t>2.1 - Minimum Services Levels</t>
  </si>
  <si>
    <t>SP20-183</t>
  </si>
  <si>
    <t>Hundley, Christina</t>
  </si>
  <si>
    <t>110-PVMAINCA-801500_STDNT_SV</t>
  </si>
  <si>
    <t>Mens Athletics General</t>
  </si>
  <si>
    <t>Increase Scholarship Dollars for Student-Athletes</t>
  </si>
  <si>
    <t>1.1.1 - Implement Student Success Strategies to Achieve Completion Agenda and To Enhance the Student Experience</t>
  </si>
  <si>
    <t>No</t>
  </si>
  <si>
    <t>Yes</t>
  </si>
  <si>
    <t>SP20-991</t>
  </si>
  <si>
    <t>Chandler, Norma</t>
  </si>
  <si>
    <t>110-PVMAINCA-801425_STDNT_SV</t>
  </si>
  <si>
    <t>Career/Job Placement</t>
  </si>
  <si>
    <t>Student Services Specialist OYO for Career Services</t>
  </si>
  <si>
    <t xml:space="preserve">Yes </t>
  </si>
  <si>
    <t>SP20-199</t>
  </si>
  <si>
    <t>Quintero, Ivette</t>
  </si>
  <si>
    <t>110-PVMAINCA-801450_STDNT_SV</t>
  </si>
  <si>
    <t>Recruitment</t>
  </si>
  <si>
    <t>Part time Student Services Specialist((Recruiter)</t>
  </si>
  <si>
    <t>2.2 - Minimum Services Levels</t>
  </si>
  <si>
    <t>SP20-200</t>
  </si>
  <si>
    <t xml:space="preserve">Part time front office staff </t>
  </si>
  <si>
    <t>SP20-201</t>
  </si>
  <si>
    <t>Suzuki, Anne</t>
  </si>
  <si>
    <t>110-PVMAINCA-801745_STDNT_SV</t>
  </si>
  <si>
    <t>Dean Of Student Affairs</t>
  </si>
  <si>
    <t>Administrative Specialist OYO 107</t>
  </si>
  <si>
    <t>3.1 - Needs for Optimal Service Levels</t>
  </si>
  <si>
    <t>SP20-189</t>
  </si>
  <si>
    <t>Purchase PVCC Promotional Items for Marketing and Recruitment strategies</t>
  </si>
  <si>
    <t>2.3 - Minimum Services Levels</t>
  </si>
  <si>
    <t>SP20-190</t>
  </si>
  <si>
    <t>Printing and Mailing services</t>
  </si>
  <si>
    <t>SP20-191</t>
  </si>
  <si>
    <t>Sa</t>
  </si>
  <si>
    <t>Texting Services-Text-Aim</t>
  </si>
  <si>
    <t xml:space="preserve">Recruitment is requesting funds to use TextAim, a phone texting platform that will allow for an additional touchpoint with potential students.  Texting is a current recruitment strategy being used to reach out to potential students and current students to provide key messages instantly.  It is effective because it is instant, short and to the point.  ?It takes 7 touches to generate viable sales/leads/engage/remember ?you?.  Key messages sent to students will be constant and form a more solid marketing campaign.   </t>
  </si>
  <si>
    <t>Operational - Non Personnel</t>
  </si>
  <si>
    <t>5.0 Operational Request</t>
  </si>
  <si>
    <t>1.1 - Legal Required / Obligations</t>
  </si>
  <si>
    <t>SP20-192</t>
  </si>
  <si>
    <t>Dean of Students operational budget for activities and programs</t>
  </si>
  <si>
    <t>The Dean of Students budget is to support new initiatives that will: increase collaboration between Student Affairs and Faculty, create a more cohesive Student Affairs division through team building and training, professional and job skill development in areas such as assessment and strategic development of co-curricular activities.</t>
  </si>
  <si>
    <t>SP20-193</t>
  </si>
  <si>
    <t>Wilson, Tim</t>
  </si>
  <si>
    <t>110-PVMAINCA-801380_STDNT_SV</t>
  </si>
  <si>
    <t>Veterans Services Center</t>
  </si>
  <si>
    <t>Veterans Services Program Enhancement</t>
  </si>
  <si>
    <t xml:space="preserve">This budget request is to further enhance the Veterans Services Program at PVCC. In order to enhance our program, multiple phases must be conducted to further train internal stakeholders, increase military affiliated student enrollment, increase retention, and ultimately provide a path towards completion for our students. The current budget request is for operational support, which includes; general supplies, printing needs, event planning, and training. Training is an important aspect to the success of the program. The required training provides up-to-date information on federal regulations and ensuring that PVCC maintains compliance with the Veterans Affairs and the Arizona State Approving Agency. Consequences include a static PVCC Veterans Services program without student centered enhancements and possible compliance challenges. </t>
  </si>
  <si>
    <t>SP20-194</t>
  </si>
  <si>
    <t>Amparo, Frank</t>
  </si>
  <si>
    <t>110-PVMAINCA-801740-STDNT_SV</t>
  </si>
  <si>
    <t>Welcome Center</t>
  </si>
  <si>
    <t>OYO 111 Coordinator of Student Services</t>
  </si>
  <si>
    <t>SP20-195</t>
  </si>
  <si>
    <t>(2) OYOs 109 Student Services Specialist</t>
  </si>
  <si>
    <t>SP20-197</t>
  </si>
  <si>
    <t>Maxwell, Tanisha</t>
  </si>
  <si>
    <t>110-PVMAINCA-801750_STDNT_SV</t>
  </si>
  <si>
    <t>VP Student Affairs</t>
  </si>
  <si>
    <t>Associate Dean of Student Affairs</t>
  </si>
  <si>
    <t>SP20-188</t>
  </si>
  <si>
    <t>Johnson, Kathaerine</t>
  </si>
  <si>
    <t>110-PVMAINCA-801540_STDNT_SV</t>
  </si>
  <si>
    <t>Financial Aid</t>
  </si>
  <si>
    <t>FATV Annual License Renewal</t>
  </si>
  <si>
    <t xml:space="preserve">Funds to be used to renew the annual license for FATV's 2 modules: Get Answers and Get SAP.  FATV is a vital tool used by PVCC to help with student retention and completion.  _x000D_
_x000D_
Get Answers provides students access to over 300 short videos on all things federal financial aid.  Additionally there are videos on a variety of other topics such as Veterans Education Benefits, scholarships, and financial literacy.  The Get Answers portal is available on our website 24/7 and is the one of the main focal points of the newly redesigned student friendly website.     _x000D_
_x000D_
Get SAP provides four (4) custom PVCC tracks on Satisfactory Academic Progress, Pell LEU and 150% Loans using custom videos, case studies and interactive tools.  Additionally, each track has delivered programming for capturing and reporting on student outcomes on a monthly basis.   _x000D_
_x000D_
Without these tools the financial aid office will see an increase in student dissatisfaction and an increase in the number of students who drop out without successfully completing their degree/certificate.  This could lead to higher student loan default rates. </t>
  </si>
  <si>
    <t>SP20-196</t>
  </si>
  <si>
    <t>Increase full time staff</t>
  </si>
  <si>
    <t xml:space="preserve">This request asks for additional full time staff in the athletics department. The additional staff will come in the form of an additional athletic specialists/sport head coaches.  This request has been made in multiple subsequent years.  _x000D_
_x000D_
Hiring of an additional Athletic Specialist was on tap in 2009, a candidate was chosen and HR was to execute the hire until the District hiring freeze negated the hire.  Since then, the budget line that athletics once held for this position was swept.  _x000D_
Athletics has consistently been understaffed which results in our student athletes not receiving the level of services and support needed.  Also, Athletics consistently hires part time staffing to help fill the operational voids created by under staffing within the Athletics Department.  Hiring an Athletic Specialist would bring PVCC?s full time Athletics Specialist to student athlete ration closer to that of other MCCCD athletics departments.  _x000D_
_x000D_
If this request is denied - will result in simply sustaining current student-athlete support with no way of enhancing academic success initiatives, student success programing or other departmental growth opportunities._x000D_
</t>
  </si>
  <si>
    <t>SP20-198</t>
  </si>
  <si>
    <t>Miranda, Vivian</t>
  </si>
  <si>
    <t>110-PVMAINCA-801550D_INSTRCT</t>
  </si>
  <si>
    <t>Student Success Pilot Program</t>
  </si>
  <si>
    <t>Student Service Specialist Senior (formally Grade 10 - One Stop)</t>
  </si>
  <si>
    <t xml:space="preserve">Provide a quality and efficient point of service for PVCC students. Incorporate training and professional development for ?One-Stop? staff.  Incorporate PVCC Ambassador Program in peer-to-peer assistance for students.  Losing the position may impact momentum created by this position, which at this time, may have an impact to service standards of the one-stop and enrollment._x000D_
</t>
  </si>
  <si>
    <t>OPERATIONAL FUND TOTAL:</t>
  </si>
  <si>
    <t>Technology</t>
  </si>
  <si>
    <t>Fund 230</t>
  </si>
  <si>
    <t>Notes</t>
  </si>
  <si>
    <t>SP20-147</t>
  </si>
  <si>
    <t>Hoang, Nguyen (Huu)</t>
  </si>
  <si>
    <t>110-PVMAINCA-802570_INST_SPP</t>
  </si>
  <si>
    <t>Special Project</t>
  </si>
  <si>
    <t>AS</t>
  </si>
  <si>
    <t xml:space="preserve">Accounting Assistant Staff (3/4 time) for HCM Control and Financial Effectiveness </t>
  </si>
  <si>
    <t>This PT position was approved last fiscal year 2018-19. The request support the department to solve the continue financial problem of HCM and FMS system - requires a  fiscal staff member to provide assistance insuring the financial accurate and transparent requirements.  _x000D_
_x000D_With more changes of HCM Human Resource Management system and District Fiscal Process as well as the FMS data system, it is required each college has a personnel staff to manage and maintain the Position Control of the accurate financial/payroll records for all employees, especially with current challenges of the HCM and FMS system. District addressed the importance of this changes to ensure the accuracy and timely manner approval for employees' payroll._x000D_
_x000D_This fiscal staff has to review more than 4,000 line items of payroll each months to identify errors for corrections in the HCM. This position also supports the continuous mission of our college finance and budget with financial efficiency, correctiveness, and transparency  (from 80% to 95% or 100%) with the current challenge of the financial system. _x000D_</t>
  </si>
  <si>
    <t>3.1 -  Enrich Learning and Organizational Effectiveness by Increasing the Diversity and Cultural Competency of Employees and Students</t>
  </si>
  <si>
    <t>SP20-148</t>
  </si>
  <si>
    <t>Lindseth, Lori</t>
  </si>
  <si>
    <t>110-PVMAINCA-801890_INST_SPP</t>
  </si>
  <si>
    <t>Human Resources</t>
  </si>
  <si>
    <t>2 FT HR Specialists</t>
  </si>
  <si>
    <t>Budget for two additional staff in HR pursuant to new initiative to decentralize HR operations and decision to colleges.</t>
  </si>
  <si>
    <t>SP20-901</t>
  </si>
  <si>
    <t>Mativier, Bob</t>
  </si>
  <si>
    <t>110-PVMAINCA-801975_OP/MNTPL</t>
  </si>
  <si>
    <t>M&amp;O</t>
  </si>
  <si>
    <t>Plumber</t>
  </si>
  <si>
    <t>For the past several years outside costs for plumbing services has been upwards of $65,000 per year.  With a permanent employee the work would move forward without waiting for the process in getting something done.  This would be a better service to the students and staff at PVCC.</t>
  </si>
  <si>
    <t>FY20 COLLEGE BUDGET DEVELOPMENT - ADMINSTRATIVE SERVICES</t>
  </si>
  <si>
    <t>This is a renewal request for a  part-time position to help with HCM and budget data. PVCC has smallest of staff comparing to all other colleges in budget and fiscal services.</t>
  </si>
  <si>
    <t xml:space="preserve">This request is a place holder for the new direction of decentralize HR operations to college. District may provide resources for this direction. There is also a $40,000 in commitments &amp; obligation to provide resource for HR with HCM issue. </t>
  </si>
  <si>
    <t>This is the new position that can be used current budget from professional services budget line that have been used to pay for the college pluming services or we can request from $1.2 million from District.</t>
  </si>
  <si>
    <t>SP20-161</t>
  </si>
  <si>
    <t>Weidner, Corey</t>
  </si>
  <si>
    <t>110-PVMAINCA-802110_INSTRCTO</t>
  </si>
  <si>
    <t>Data Processing</t>
  </si>
  <si>
    <t>IT</t>
  </si>
  <si>
    <t>IT Maintenance Contracts</t>
  </si>
  <si>
    <t xml:space="preserve">Cisco Smartnet - Smartnet is Cisco's hardware and software network maintenance program that ensures that the college has the coverage provided should we have any network failures. This annual contract provides 24/7 support, security patches, software upgrades, licensing, and 24-hour part delivery should we have a hardware failure. This is a critical infrastructure item, and like any other utility, has to be renewed each year. Almost every campus operation can be affected by a network outage, and therefore cements how important a support contract is to maintain a solid 24/7 uptime. _x000D_
_x000D_Microsoft Campus Agreement - Ensures software compliance for Microsoft products across the campus business and classroom usage. This enables site licensing under our portion of the MCCCD Microsoft ELA (Enterprise License Agreement), and a guarantee of most current version of software for instruction and data center activities. This is not an optional agreement, and has to be paid every year._x000D_
_x000D_Public Safety Systems - The Ocularis CCTV and S2 access control systems are an obligation and commitment to run all the Public Safety cameras and door access systems. These maintenance contracts maintain support for safety systems critical to incident management and Public Safety investigation/reporting. An additional $15,000 is needed annually to be put in the base budget. </t>
  </si>
  <si>
    <t>College Commitment &amp; Obligations</t>
  </si>
  <si>
    <t>SP20-163</t>
  </si>
  <si>
    <t>Goff, Mary Lou</t>
  </si>
  <si>
    <t>110-PVMAINCA-802165_ACAD_SPP</t>
  </si>
  <si>
    <t>Assoc Dean Lrng Re</t>
  </si>
  <si>
    <t>Hire Temporary Employees for Commons &amp; Help Desk</t>
  </si>
  <si>
    <t xml:space="preserve">The Commons and Help Desk rely on temporary employees to cover the extended hours of operation._x000D_
_x000D_
Hours of coverage -  MTWR 7:00 am - 10:00 pm, F 7:00 am - 5:00 pm and S 7:30 am - 4:00 pm._x000D_
_x000D_
Failure to fund this request will result in delay of service to students and faculty which would interrupt instruction._x000D_
_x000D_
</t>
  </si>
  <si>
    <t>Recommended for $1.2 mllion District Fund</t>
  </si>
  <si>
    <t>SP20-162</t>
  </si>
  <si>
    <t>Hire a Technology Support Specialist for the Help Desk</t>
  </si>
  <si>
    <t xml:space="preserve">This request is for a Technology Support Specialist Grade 111 for the Technology Help Desk to provide evening coverage._x000D_
At this time, we do not have a full-time employee working in the evenings in the Commons or Help Desk._x000D_
_x000D_
Failure to approve this position request will result in the Commons/Help Desk having to continue to rely on temporary employees.  This does not provide adequate coverage to support technology in the classrooms in the evening._x000D_
_x000D_
_x000D_
_x000D_
</t>
  </si>
  <si>
    <t>OYO</t>
  </si>
  <si>
    <t>OPERATIONAL FUND</t>
  </si>
  <si>
    <t>SP20-129</t>
  </si>
  <si>
    <t>Bjork, Stephanie</t>
  </si>
  <si>
    <t>110-PVMAINCA-800440_INSTRCTO</t>
  </si>
  <si>
    <t>Early Childhood Edu</t>
  </si>
  <si>
    <t>AA</t>
  </si>
  <si>
    <t xml:space="preserve">National Association for the Education of Young Children (NAEYC) annual accreditation fee of $1,683.00. </t>
  </si>
  <si>
    <t>National Association for the Education of Young Children (NAEYC) annual accreditation fee of $1,683.00. The ECH program's accreditation ensures the program's NAEYC compliance. The Associate of Applied Science in Early Childhood Education degree at Paradise Valley Community College is accredited and serves as evidence of our program's high-quality preparation of early childhood professionals and signifies a commitment to continuous improvement. The accreditation also ensures that the AAS in ECE course content is aligned with the National Association for the Education of Young Children's Professional Preparation Standards.</t>
  </si>
  <si>
    <t>Prop 301</t>
  </si>
  <si>
    <t>2.3 - Align Occupational Programs, Courses, and Skills with Current Workforce Needs</t>
  </si>
  <si>
    <t>SP20-052</t>
  </si>
  <si>
    <t>Early, Mary</t>
  </si>
  <si>
    <t>110-PVMAINCA-802320_ACAD_SPP</t>
  </si>
  <si>
    <t>Learning Assistance</t>
  </si>
  <si>
    <t>Online Tutoring</t>
  </si>
  <si>
    <t>PVCC is accredited for distance education, and HLC requires a full complement of online services that correspond with in-person services. Online tutoring is a requirement for this accreditation. The current vendor charges $25 an hour for online tutoring, and PVCC currently uses approximately 800 hours of online tutoring a year for fall, spring, and summer classes. Without online tutoring, PVCC is not in compliance with its distance education accreditation requirements.</t>
  </si>
  <si>
    <t>SP20-057</t>
  </si>
  <si>
    <t>Leshinskie, Eric</t>
  </si>
  <si>
    <t>110-PVMAINCA-802255_ACAD_SPP</t>
  </si>
  <si>
    <t>V P Of Academic Affairs</t>
  </si>
  <si>
    <t>HLC Fee to Approve New Programs</t>
  </si>
  <si>
    <t>College Commitment &amp; Obligations; Not required, no new programs starting</t>
  </si>
  <si>
    <t>SP20-109</t>
  </si>
  <si>
    <t>Guided Pathways</t>
  </si>
  <si>
    <t>Co-chair, faculty. 4.5 load Summer, Fall &amp; Spring. $925 / load hour.</t>
  </si>
  <si>
    <t>College Commitment &amp; Obligations - Only for the Tri Chairs</t>
  </si>
  <si>
    <t>SP20-060</t>
  </si>
  <si>
    <t>Peterson, Nelly</t>
  </si>
  <si>
    <t>110-PVMAINCA-801120_INSTRCTO</t>
  </si>
  <si>
    <t>Nursing</t>
  </si>
  <si>
    <t>Accreditation renewal visit</t>
  </si>
  <si>
    <t>Pay accreditation fees, evaluators, materials, printing, etc.</t>
  </si>
  <si>
    <t>SP20-050</t>
  </si>
  <si>
    <t>Crossman, Paula</t>
  </si>
  <si>
    <t>110-PVMAINCA-802315_ACAD_SPP</t>
  </si>
  <si>
    <t>Library</t>
  </si>
  <si>
    <t>eResources Subscriptions OYO</t>
  </si>
  <si>
    <t>Purpose of request: Each year the library requests $35,000 in support of our electronic database subscriptions - an indispensable collection of research on which our students and faculty rely. As the prices for these databases rise, we need to be responsive in funding our access to scholarly research. I have requested a $5000 increase this year to accommodate the demand for streaming media. As our online courses grow, instructors are using more media to engage students, and these services come with a hefty price tag. We currently pay nearly 10,000 just for streaming media. _x000D_
_x000D_Benefit:  Continue e-subscriptions of databases which support content areas and student learning in all formats. Students use predominantly electronic resources for their research needs. Any decrease in funding for these resources dramatically impacts their ability to find the critical, academic research that they require for college-level scholarship. Our databases also support faculty with their research and support their OER endeavors. Money spent developing OER results in savings for students._x000D_
_x000D_Consequence:  If this budget is reduced, we will be forced to cancel subscriptions upon which our students and faculty have come to depend. Without this funding, we are unable to purchase new materials as the need arises. We might be forced to cancel particularly costly databases which support academic programs._x000D_
_x000D_Why permanent? The need for e-resources is not going away. It's the nature of how research is now done. Rather than requesting budget support for these essential collections each year, it makes more sense to commit to spending these dollars for a need that is perpetual.</t>
  </si>
  <si>
    <t>SP20-051</t>
  </si>
  <si>
    <t>Equity Gap Initiatives - Expanded Course Reserves</t>
  </si>
  <si>
    <t>Benefits: Expanded course reserves for the top 150 enrolled courses means that needy students will not have to make the choice between buying a textbook or buying groceries. The hope is that reducing the cost of texts will encourage students to take additional course credits. We've investigated the costs to achieve this goal, and it would cost approx. $1000.00 to add the texts for those additional courses.</t>
  </si>
  <si>
    <t>1.1.2 - Close Education Attainment Gaps in Targeted Populations</t>
  </si>
  <si>
    <t>2.4 - Minimum Services Levels</t>
  </si>
  <si>
    <t>SP20-053</t>
  </si>
  <si>
    <t>Fehr, Karen</t>
  </si>
  <si>
    <t>110-PVMAINCA-800405_INSTRCTO</t>
  </si>
  <si>
    <t>Dance</t>
  </si>
  <si>
    <t>Supplies for Dance Program</t>
  </si>
  <si>
    <t xml:space="preserve">Funds are being requested for instructional supplies to maintain a high quality dance program.  The funds will be used to purchase 1) costumes, props, and lighting gels to aid in performance, 2) to purchase other needed supplies/equipment for dance concerts and visiting guest artists/choreographers, 3) to purchase safety equipment including marley tape and first aid kit supplies, and 4) to purchase percussion instruments to aid dance rehearsals and ethnic dance workshops 5) to purchase Anatomical models used in dance technique classes to provide an understanding of the body, body mechanics, anatomy, muscle imbalances, etc. in the classroom. </t>
  </si>
  <si>
    <t>SP20-054</t>
  </si>
  <si>
    <t>Fresques, Audrey</t>
  </si>
  <si>
    <t>110-PVMAINCA-801565_INSTRCTO</t>
  </si>
  <si>
    <t>Student Development</t>
  </si>
  <si>
    <t>Marketing/promotional materials for early college programs</t>
  </si>
  <si>
    <t xml:space="preserve">Early College Programs would like to purchase items with the ECP logo on them to hand out to potential students at recruitment events. in an effort to expand our student outreach initiatives. </t>
  </si>
  <si>
    <t>SP20-055</t>
  </si>
  <si>
    <t>Bonus time funding</t>
  </si>
  <si>
    <t xml:space="preserve">The Early College Programs office will coordinate Bonus Time activities to better acquaint students to on campus resources, build community and participate in future planning.  Funding is requested to support Bonus Time activities for the year.  Funding would allow the Early College Programs department to pay for supplies, snacks and food to the high school students extending their time on campus. Bonus times are held each month, 4 meetings each semester.  The department is requesting $100 per bonus time activity (approximately 90-100 students per each event).  There are typically eight bonus times in a year.  Bonus times are essential to connect students with members of their cohort, early college programs staff, campus support services, and they help with retention efforts during high school and matriculation efforts to PVCC post high school. Without funding the early college programs office would be limited in the resources we could provide to students during these events. </t>
  </si>
  <si>
    <t>SP20-056</t>
  </si>
  <si>
    <t>Lace, Jeff</t>
  </si>
  <si>
    <t>110-PVMAINCA-800210_INSTRCTO</t>
  </si>
  <si>
    <t>Chemistry</t>
  </si>
  <si>
    <t>Black Mtn - Aquila Hall - Base Budget to purchase equipment, supplies, and consumables for Aquila Hall labs.</t>
  </si>
  <si>
    <t>Black Mtn - Aquila Hall - Operation Funds (Base Budget) request for General Laboratory Supplies ? These supplies will be used to support the operational and instructional needs and to maintain the Science labs at the Black Mnt site. These funds will also be used to replace consumable supplies such as; genetic material used for DNA analysis, vertebrate and invertebrate dissection specimens, Chemicals used for making laboratory solutions and other supplies as required by Laboratory Instructors._x000D_
_x000D_
If these General Lab Supplies are not purchased and replaced as needed it will not be possible to support most Science laboratory programs at the Black Mtn site.</t>
  </si>
  <si>
    <t>SP20-058</t>
  </si>
  <si>
    <t>Miller, Carolyn</t>
  </si>
  <si>
    <t>110-PVMAINCA-802330_ACAD_SPP</t>
  </si>
  <si>
    <t>Instructional Design</t>
  </si>
  <si>
    <t>Canon XA11 Professional Camcorder and SanDisk Extreme 64g</t>
  </si>
  <si>
    <t>The Center for Teaching and Learning is need of a higher end professional video camera.  We are creating our own videos for training and other instructional uses along side faculty and staff here at PVCC.  We have a current low end consumer Canon camera that we use to shoot all of our video, events, and productions.  This camera is severely outdated and batteries won't hold a charge.  Rechargeable batteries are expensive and hard to find for this older model. Last semester, the CTL has produced multiple instructional videos, assisted with other departments, assisted clubs such as Club Z, and created promotional videos for Hybrid/Online Courses.  We created a new project highlighting a faculty member at PVC called PVCC Hidden Treasures, we shoot a 5 min video showcasing a special faculty member or project.  This has gone over very well district wide and we need more professional tools to create quality work.  In order to grow our online and hybrid delivery methods, the CTL works hand in hand in creating videos, introductions to modules, instructor videos in Canvas, etc.</t>
  </si>
  <si>
    <t xml:space="preserve">No </t>
  </si>
  <si>
    <t>3.2 - Needs for Optimal Service Levels</t>
  </si>
  <si>
    <t>SP20-059</t>
  </si>
  <si>
    <t>Lunch and Learns</t>
  </si>
  <si>
    <t>This money would be used for 6 lunch and learns around Hidden Rules and college success strategies to address the equity gap. Based on the work that was started in 2018-2019 academic year, this project will expand to include more faculty, Student Life, students, and possibly the Puma Pantry.</t>
  </si>
  <si>
    <t>SP20-061</t>
  </si>
  <si>
    <t>Community outreach (Teen Maze)</t>
  </si>
  <si>
    <t>Purchase supplies and print informational materials for distribution during the activity</t>
  </si>
  <si>
    <t>SP20-062</t>
  </si>
  <si>
    <t>Operational budget</t>
  </si>
  <si>
    <t xml:space="preserve">Office supplies - $3,000.00_x000D_
Pinning/Graduation - $4,000 (printing, refreshments)_x000D_
ACEN annual dues - $3,000.00_x000D_
NLN dues - $3,000.00_x000D_
_x000D_
</t>
  </si>
  <si>
    <t>SP20-063</t>
  </si>
  <si>
    <t>mCE annual fees</t>
  </si>
  <si>
    <t>Pay annual fees for FT &amp; PT faculty to mCE - clinical coordination system.</t>
  </si>
  <si>
    <t>0.1 Action Plan</t>
  </si>
  <si>
    <t>SP20-064</t>
  </si>
  <si>
    <t>250-PVMAINCA-801120A_INSTRCT</t>
  </si>
  <si>
    <t>Nursing Course Fee</t>
  </si>
  <si>
    <t>HESI Exams and review classes</t>
  </si>
  <si>
    <t xml:space="preserve">Blocks 1-3, PM, PN HESI exams (Spring/Fall) - 260 students x $35 = $9100_x000D_
Block 4 HESI RN = 64 students x $55 = $3520_x000D_
Block 4 review course (Spring/Fall) - 64 students x $275 = $17,600_x000D_
</t>
  </si>
  <si>
    <t>SP20-065</t>
  </si>
  <si>
    <t>Polliard, Stephanie</t>
  </si>
  <si>
    <t>110-PVMAINCA-801270_INSTRCTO</t>
  </si>
  <si>
    <t>Reading</t>
  </si>
  <si>
    <t>program placement maps and course schedule</t>
  </si>
  <si>
    <t xml:space="preserve">With changes to placement to reading courses, students will be confused about which classes to take. The Reading department (within English) will need printing funds to produce supportive documents for advising purposes. </t>
  </si>
  <si>
    <t>4.1 Dream</t>
  </si>
  <si>
    <t>SP20-066</t>
  </si>
  <si>
    <t>Rubin, James</t>
  </si>
  <si>
    <t>250-PVMAINCA-800315_INSTRCTO</t>
  </si>
  <si>
    <t>CPD102ab</t>
  </si>
  <si>
    <t>Testing License</t>
  </si>
  <si>
    <t>Required license to use and print tests.</t>
  </si>
  <si>
    <t>SP20-067</t>
  </si>
  <si>
    <t>Tests</t>
  </si>
  <si>
    <t>Career assessment tests for CPD150, CPD102AB, and career counseling students and community members.</t>
  </si>
  <si>
    <t>SP20-068</t>
  </si>
  <si>
    <t>Sanchez, David</t>
  </si>
  <si>
    <t>110-PVMAINCA-800680_INSTRCTO</t>
  </si>
  <si>
    <t>Fire Science</t>
  </si>
  <si>
    <t>Reoccurring Student Supplies</t>
  </si>
  <si>
    <t xml:space="preserve">This request is to fund the following supplies, which are reoccurring and required for student use each semester, in order to fulfill curriculum requirements for FSC102, FSC159 and FSC175.The wood package is purchased each semester and has been previously funded utilizing FSC course fees. _x000D_
_x000D_
120 sheets- 15/32 OSB (oriented strand board) per semester_x000D_
100- 2x4x96 wood studs per semester_x000D_
_x000D_
These supplies are required, in order to provide Live Fire, Ventilation and Firefighter Survival training. These performance-based skills are mandated and required by the state training and certification authority, AZCFSE (AZ Center for Fire Service Excellence), which accredits our program through the national Fire Service accrediting body, IFSAC (International Fire Service Accreditation Congress)._x000D_
</t>
  </si>
  <si>
    <t>SP20-069</t>
  </si>
  <si>
    <t xml:space="preserve">This request is to fund the following supplies, which are reoccurring and required for student use each semester, in order to fulfill curriculum requirements. The salvaged vehicles are purchased each semester and have been previously funded utilizing FSC course fees. _x000D_
_x000D_
10- salvaged vehicles per semester_x000D_
_x000D_
These supplies are required, in order to provide extrication and vehicle fire training. These performance-based skills are mandated and required by the state training and certification authority, AZCFSE (AZ Center for Fire Service Excellence), which accredits our program through the national Fire Service accrediting body, IFSAC (International Fire Service Accreditation Congress)._x000D_
</t>
  </si>
  <si>
    <t>SP20-070</t>
  </si>
  <si>
    <t>Reoccurring Expense for Student Supplies</t>
  </si>
  <si>
    <t xml:space="preserve">This request is to fund the following reoccurring expense associated with student supplies, which are required for student use each semester, in order to fulfill curriculum requirements. The salvaged vehicles (inoperable and to be recycled) are purchased each semester and have been previously funded utilizing FSC course fees. The towing services are part of the agreement with the salvage vehicle vendor (AZ Auto &amp; Truck Parts, Phoenix), which requires us to have the vehicles towed from the vendor location to the class location (City of Phoenix Fire Training Academy), and then back to the vendor location for recycling._x000D_
_x000D_
Towing services for salvaged vehicles to and from the vendor per semester_x000D_
_x000D_
The supplies (salvaged vehicles) are required, in order to provide extrication and vehicle fire training. These performance-based skills are mandated and required by the state training and certification authority, AZCFSE (AZ Center for Fire Service Excellence), which accredits our program through the national Fire Service accrediting body, IFSAC (International Fire Service Accreditation Congress)._x000D_
</t>
  </si>
  <si>
    <t>SP20-071</t>
  </si>
  <si>
    <t>Scinto, Christopher</t>
  </si>
  <si>
    <t>110-PVMAINCA-800160_INSTRCTO</t>
  </si>
  <si>
    <t>Art</t>
  </si>
  <si>
    <t>Increase Level of Talent Waivers - ART</t>
  </si>
  <si>
    <t>The talent waiver for ART has been $2,611 per year for over 15 years. We are requesting to increase talent waivers by $2,389 for a total allocation of $5,000 per year.</t>
  </si>
  <si>
    <t>3.4 - Needs for Optimal Service Levels</t>
  </si>
  <si>
    <t>SP20-072</t>
  </si>
  <si>
    <t>110-PVMAINCA-801010_INSTRCTO</t>
  </si>
  <si>
    <t>Music</t>
  </si>
  <si>
    <t>Increase Level of Talent Waivers - Music</t>
  </si>
  <si>
    <t>The talent waiver for MUSIC has been $2,611 per year for over 15 years. We are requesting to increase talent waivers by $2,389 for a total allocation of $5,000 per year.</t>
  </si>
  <si>
    <t>SP20-073</t>
  </si>
  <si>
    <t>110-PVMAINCA-801455_INSTRCTO</t>
  </si>
  <si>
    <t>Theatre</t>
  </si>
  <si>
    <t>Increase Level of Talent Waivers - THEATER</t>
  </si>
  <si>
    <t>The talent waiver for THEATER has been $2,611 per year for over 15 years. We are requesting to increase talent waivers by $2,389 for a total allocation of $5,000 per year.</t>
  </si>
  <si>
    <t>SP20-074</t>
  </si>
  <si>
    <t>Cornell, Renee</t>
  </si>
  <si>
    <t>110-PVMAINCA-802335_STDNT_SP</t>
  </si>
  <si>
    <t>Learning Communities</t>
  </si>
  <si>
    <t>Increase Learning Communities cohorts</t>
  </si>
  <si>
    <t>The Learning Communities Program has only provided one cohort for past spring semesters so fall LC students have been limited in LC offerings.  We would like to increase the number of spring LC cohorts from one to two for the spring 2020 semester. If this is not approved, students will not have the opportunity to enroll in a continuing learning community.</t>
  </si>
  <si>
    <t>SP20-075</t>
  </si>
  <si>
    <t>Cristiano, Marilyn</t>
  </si>
  <si>
    <t>110-PVMAINCA-801180_INSTRCTO</t>
  </si>
  <si>
    <t>Philosophy</t>
  </si>
  <si>
    <t>New Philosophy/Religion Full-Time Faculty</t>
  </si>
  <si>
    <t>The Com/Hum Division has a need for a second RFP Full-Time Faculty to teach Philosophy and _x000D_
_x000D_
Religion courses to replace adjunct faculty who are teaching overloads.  It is difficult to find adjunct _x000D_
faculty to teach Philosophy and Religion classes._x000D_
_x000D_
It would be of benefit to the students to have a faculty who is teaching full-time.</t>
  </si>
  <si>
    <t>SP20-076</t>
  </si>
  <si>
    <t>Information Science Hybrid Class and outreach at Black Mountain</t>
  </si>
  <si>
    <t>Benefit: Enhance point of need service at the Black Mountain campus through the practice of regularly scheduled reference and instruction opportunities on site. Additional early college course offerings to Cave Creek Unified School District and Foothills Academy strengthen our relationships with our early college partners and help us to achieve our transfer goals._x000D_
_x000D_
Consequences:  Limitations to collaborative endeavors and initiatives at the Black Mountain campus. _x000D_
_x000D_
Budget includes $$ for librarian staffing at Blk Mountain for 4 hour/week for 28 weeks ($5376.00) and staffing for 2 sections of IFS at Black Mountain ($5000.00)</t>
  </si>
  <si>
    <t>SP20-077</t>
  </si>
  <si>
    <t>Part-Time Circ/Acq Support</t>
  </si>
  <si>
    <t>Benefit:  Optimal levels of service provided at the Circulation Desk on a continuous basis throughout hours of operation._x000D_
_x000D_
Consequence:  Continued flexing of work schedule by Library Manager and staff to cover the library's regular hours of operation.</t>
  </si>
  <si>
    <t>SP20-078</t>
  </si>
  <si>
    <t>College Information Literacy Integration</t>
  </si>
  <si>
    <t>Cost for 3 service faculty to be embedded online and/or teaching learning community classes. (This is an estimate based on adding three, 3-credit courses or six, 1-credit courses as a learning community.)_x000D_
_x000D_Benefit: students will apply IL concepts to their research in gateway courses, solidifying their grasp of IL competencies. When paired with a gateway course, we ensure that all students receive the benefit of this instruction, rather than just those who instructors typically ask for one-shot information literacy sessions. Gains in IL competencies across the board, more in-depth instruction on citation/academic integrity, source integration and evaluation allow students to practice finding and using the most credible and relevant sources to complete their coursework._x000D_
_x000D_Consequence: If not funded, our ability to address the IL competencies of the majority of students will be compromised. IL is a vital workplace skill, we need to emphasize the necessity of vetting sources and crediting them appropriately. This is vital for both transfer students and those migrating directly to the workforce.</t>
  </si>
  <si>
    <t>SP20-079</t>
  </si>
  <si>
    <t>Dominguez, Tereza</t>
  </si>
  <si>
    <t>110-PVMAINCA-800995_ACAD_SPP</t>
  </si>
  <si>
    <t>Math Division</t>
  </si>
  <si>
    <t>Part Time Tutors</t>
  </si>
  <si>
    <t xml:space="preserve">This budget request will be used to pay part time wages for the fiscal year for tutoring only.  It will allow department to separate tutoring and office assistant wages._x000D_
</t>
  </si>
  <si>
    <t>SP20-080</t>
  </si>
  <si>
    <t>Wages for Temp. Employees</t>
  </si>
  <si>
    <t>MC needs $30,000 to continue to provide quality proctoring to PVCC students in the Q building.</t>
  </si>
  <si>
    <t>SP20-081</t>
  </si>
  <si>
    <t xml:space="preserve">Dorm, Daren </t>
  </si>
  <si>
    <t>110-BLKMTNCA-802575_INSTSPPT</t>
  </si>
  <si>
    <t>General Institutional</t>
  </si>
  <si>
    <t>Black Mtn- Staffing PT Wages - (2) Placement Testing</t>
  </si>
  <si>
    <t xml:space="preserve">Temporary funding for Black mtn staffing, Testing Technician.?- Position is currently funded as OYO temp funds for Placement Testing and FY18 was funded for PT funds for receptionist . Re-requesting continued funding. _x000D_
_x000D_Staffing for Placement Testing and DRS proctored testing has increased over the years. Currently morning DRS &amp; Instructional testing is being proctored by Advisors, or staff who is available at that time. Funding is needed to staff Mon - Thursday testing for Placement, DRS and Instructional testing. _x000D_
*Currently OYO Temp funds were requested and approved in FY18 for a temp Receptionist. As of Spring 18 we have used these funds to support the Testing needs.  _x000D_
_x000D_Staffing for Placement Testing is necessary to maintain the current Assessment services offered.  _x000D_
_x000D_Consequence:_x000D_
Black Mtn is currently not compliant with proctored testing for DRS and Instructional tests. </t>
  </si>
  <si>
    <t>SP20-082</t>
  </si>
  <si>
    <t>110-BLKMTNCA-802075_OP</t>
  </si>
  <si>
    <t>Public Safety-Colleges</t>
  </si>
  <si>
    <t>Black Mtn- Security Staffing PT Wages</t>
  </si>
  <si>
    <t xml:space="preserve">Temporary funding for Black Mtn Security Aide. (Was funded FY17 - $15,000, increased to 16,000 to cover the full year))_x000D_
_x000D_Staffing for the site is necessary to maintain the site and its services. Currently FT Security covers morning hours, this position covers 4:00-10pm Mon - Thursday. _x000D_
_x000D_Consequence:_x000D_
Without funding patrolling and security issues such as parking, accidents, medical, and locking up of the buildings would need to be handled by the Advisor or Site Coordinator. This position also ensured lock up of FCF community center since the college and FCF are physically in the same building. </t>
  </si>
  <si>
    <t>SP20-083</t>
  </si>
  <si>
    <t>Increase student persistence and success with reading coaching</t>
  </si>
  <si>
    <t>During the academic year, we need to hire the adjunct faculty member in the Educational Development job because this person works with all subjects and needs to be able to provide the best strategies for students in their various courses. This position also trains the other reading coach in reading development strategies. This position works 10 hours a week for 30 weeks at $27.50/hour ($8,250/year) in the role of educational development. The other reading coach works 10 hours a week at $11/hour for 30 weeks ($3,300/year). The total wages for the two come to $11,550 for the year. Through the first years of the program, students using it have passed the classes they have come in for with an A, B, or C 81% of the time. The increased FTSE from student success and persistence exceeds the cost of the program.</t>
  </si>
  <si>
    <t>SP20-084</t>
  </si>
  <si>
    <t>Wages to provide tutoring to PVCC students</t>
  </si>
  <si>
    <t>Tutors consist of part-time and student employees, with hourly wages ranging from $11 for those without degrees to $13.64 for adjunct faculty. Minimum wage will increase to $12 on January 1, 2020. I am requesting $8,000 in additional funds over FY 2019's $178,000 to pay for the increased minimum wage of $11 an hour through December 2019 and $12 an hour beginning in January 2020. Part-time and student staff work fewer than 25 hours a week during the fall and spring semester and fewer than 20 hours a week in the summer. Studies have proven (Boylan, Bliss, and Bonham, 1995) that tutoring with a training component, which the LSC mandates for tutors, is one of two out-of-class interventions that increase student success, or passing a course with an A, B, or C, and persistence to the next semester or completion of academic goals. Grade studies of students who use LSC tutoring show that students using tutoring earn more B's and C's and fail or withdraw far less often than their peers in the same classes who do not use tutoring. The difference of withdrawal rates, for example, is 24% for those not using tutoring and 9% for those who work with tutors.</t>
  </si>
  <si>
    <t>SP20-085</t>
  </si>
  <si>
    <t>Black Mountain tutoring</t>
  </si>
  <si>
    <t>This budget request will pay during the fall and spring semesters for 12 hours a week of science tutoring, 6 hours a week of math, and 2 hours of writing at $13.64 an hour. An additional 6 hours a week of tutoring will come from the LSC learning associate. These wages also include 10 weeks of summer tutoring to include 2 hours a day of math twice a week and 2 hours a day of science and of writing tutoring 4 days a week. The benefit to students is the ability to pass courses more often and withdraw less often, persisting to the completion of their goals. Because we train tutors, we are among the programs demonstrated nationally and longitudinally to have a positive impact upon student success (passing classes) and persistence to the next semester or to the completion of the degree or certificate.</t>
  </si>
  <si>
    <t>SP20-086</t>
  </si>
  <si>
    <t>Wages for an English language Specialist</t>
  </si>
  <si>
    <t>With thousands of English language learners in PVCC's service area, the college needs to be able to help them learn English and succeed in classes through assistance with writing, speaking, and understanding English. Adding an English language specialist to the LSC will allow the college to help community members learn enough English to take ESL classes and, after that, college-credit classes that will allow these community members to work and thrive in their community. The English language specialist will conduct workshops, provide writing assistance unique to these learners' needs, and coordinate workshops, CELSA prep, and placement test-taking. Without this part-time position, we continue to leave these community members under-served.</t>
  </si>
  <si>
    <t>SP20-087</t>
  </si>
  <si>
    <t>Instructional Services Specialist for Science</t>
  </si>
  <si>
    <t>This position will allow the LSC to provide out-of-class support to the Integrated Health Programs, including the Public Health Program, at the LSC, at Black Mountain, and in the Q building where students are taking their classes in addition to serving the traditional science and nursing classes. Students should pass their classes at higher rates with focused assistance in practicing, reinforcing, and applying their in-class lessons. We can establish consistency and quality by not having constantly to start again to find appropriate part-time staff to help develop effective and targeted assistance. Without this position, the LSC will continue to do the best that it can to provide quality assistance to students by using the best part-time, temporary staff we can find. We usually lose these staff after a year or two to medical or pharmacy school, so we have to rebuild frequently. A permanent position will allow us to plan strategically to provide necessary support to students in Public Health, Nursing, Integrated Health, and Science programs.</t>
  </si>
  <si>
    <t>SP20-088</t>
  </si>
  <si>
    <t>250-PVMAINCA-802210_INSTRCTO</t>
  </si>
  <si>
    <t>Fitness Center</t>
  </si>
  <si>
    <t>Maintain Fitness Center Part-time Wages</t>
  </si>
  <si>
    <t xml:space="preserve">To maintain the Fitness Center part-time temp. wages for 2017-2018 that were in the 2016-2017 budget.  The part-time temp. wages provide for support staff needed by the Fitness Center to maintain current operations/courses._x000D_
_x000D_
Consequences of not funding this request is that there will be less support for Fitness Center students, employees and community members.  This funding is used for Fitness Center Tech. that is responsible for maintaining accurate tracking and records (i.e. student program adherence, student communication through Canvas, communication with students that enroll throughout the semester, assigning new students to faculty, etc...)._x000D_
_x000D_
_x000D_
_x000D_
_x000D_
_x000D_
</t>
  </si>
  <si>
    <t>SP20-089</t>
  </si>
  <si>
    <t>Fitness Center Front Desk Staff</t>
  </si>
  <si>
    <t xml:space="preserve">Our Front Desk staffing is essential in order to safely operate our Fitness Center programming in the F110 classroom.  </t>
  </si>
  <si>
    <t>SP20-090</t>
  </si>
  <si>
    <t>110-PVMAINCA-802210_INSTRCTO</t>
  </si>
  <si>
    <t>Fitness Center - Non Credit</t>
  </si>
  <si>
    <t>Wellness and Fitness Technician</t>
  </si>
  <si>
    <t>The Fitness Center is in the process of restructuring it's staffing to better meet the needs of the program.  In the past, the Fitness Center Technician positions have played a critical role in the safe and effective operations of the Fitness Center.  The programming that is currently occurring at the Fitness Center is in need of specialized professional technical assistance (Credit Classes, Small Group Training Classes, Sports Conditioning, Senior Fitness, Post-Cardiac Rehab.)  In addition, we are proposing a restructuring of the Fitness Center's (district-wide proposal) opening the Fitness Centers for general student use with a standard fee assessed all credit students. The goal is to break down barriers to overall student wellness, which will promote improved student retention and academic performance, according to studies.  With the increased usage by the general student population, we will need additional professional staffing to provide programming and instruction.  The position can result in a lowering of personnel costs for floor hours, as this position would be required to work 25-30 hours on the floor per week._x000D_
_x000D_Currently, we do not have enough Fund 2 income to staff PT Technicians as we have in the past decade.  The 25 hour work limit has put us in a position that our adjunct faculty that usually fill the hourly needs of technician work can no longer work more than 3-6 hours per week in this role (which is not close to meeting our need).  Chandler-Gilbert Community College has successfully piloted this model of staffing using a Strength and Conditioning coach that also serves a dual role, helping to meet the needs of the Athletic Department._x000D_
_x000D_The consequences of not funding this position will be continued pressure to produce income from our seniors and community members in order to operate the Fitness Center the number of hours necessary to meet student, staff, and community needs. In order to increase the income, we will need to either increase the enrollment fees for the seniors (limited incomes), thus asking our more vulnerable community populations to subsidize the Fitness Center, or start providing other revenue streams (which is not feasible without more staffing).  The benefits to student outcomes have been documented in students providing data that indicates the Fitness Center should be a service that is funded much like other services that contribute to student success (Student Life, Library, Counseling, Learning Support Center, Computer Commons, etc...).  _x000D_
_x000D_
Job wage range $32,470 - $42,111 (+ approx. 20% for benefits, etc..)</t>
  </si>
  <si>
    <t>SP20-091</t>
  </si>
  <si>
    <t>The front desk staff serves critical roles in the Fitness Center (answering phone calls, students inquiries, logging students in and out of the Fitness Center, cleaning equipment, supporting faculty during medical emergencies (making 911 calls), greeting members, filing all participation and consent forms, trouble shooting when students enrollment is not coming up in FitnessTrac.  The benefits of staffing the Fitness Center front desk with permanent funds is to reduce the pressure on having to generate revenue, thus putting more emphasis on our key mission of student wellness and health education.  There is uncertainty in whether we can continue to use the Fitness Center Fund 2 Course fees for personnel.  Without these fees, we will be significantly short on funds to staff the Fitness Center Front Desk.</t>
  </si>
  <si>
    <t>SP20-092</t>
  </si>
  <si>
    <t>110-PVMAINCA-800655_INSTRCTO</t>
  </si>
  <si>
    <t>Allied Health</t>
  </si>
  <si>
    <t>Maintain Allied Health Temp. Wages</t>
  </si>
  <si>
    <t>Temporary wages are used in the allied health program/courses to assist with advisement, marketing, and program assessment (i.e. tracking of data for accreditation/certification and program completion) and guest speakers._x000D_
_x000D_
The allied health programs this request supports include the Dietetic Technology Consortium Program, EXS Strength and Personal Training degree and certificates, the Teaching Healing and Meditation courses/program, transfer courses to 4 year colleges/universities, and the new sustainability courses, _x000D_
_x000D_
If not funded, specific program advisement, marketing and program assessment efforts, and guest lecturers will be limited.  The past two years we supplemented allied health marketing funds with te Hold Harmless Funds.  These will not be available next year._x000D_
_x000D_
The amount requested has not changed and has been approved for the past 10+ years which is why the yes was marked above to make these funds part of the permanent base budget.</t>
  </si>
  <si>
    <t>SP20-093</t>
  </si>
  <si>
    <t>Support Staff for Dance Program Needs</t>
  </si>
  <si>
    <t>Funds are being requested to continue to hire a temp.PT staff to assist with the following:_x000D_
1) Supervising students rehearsals for work outside of class for DAN280 Dance Practicum, DAN298 Special Projects and DAN264/265 Choreography I/II_x000D_
2) Secure music rights for all the music that is part of the Fall and Spring Dance Collection_x000D_
3) Pay for royalty funds in order to use the music selected for our Fall and Spring Dance Collections_x000D_
4) Funding needed for the Fall and Spring Dance Collections.  Lighting designer, stage manager, music technician, videographer, student supervision, and guest artists._x000D_
5) Community and High School Outreach, funds utilized to offer dance workshops, high school career fairs, guest artist_x000D_
_x000D_Consequences of not funding this request:_x000D_
1) Dance students need space to rehearse and create.  In order to support student's success and completion of the AAFA in Dance we need to provide students with rehearsal space and a person who can supervise student rehearsals._x000D_
2) In order to comply with Music Right Laws the PVCC dance program needs to go through the process of requesting music rights for the Fall and Spring Dance Collection.  This concert provides students with an opportunity to hone their technical dancing skills, provide a PVCC dance community in which students support and inspire each other.  The dance concert is also our best way of involving our community and for other students to know that we have a dance program with an AAFA in dance._x000D_
3)In order to have a successful dance concert where students, faculty, and the community come together we need the support of a lighting designer, stage manager and music technician.  We also need a videographer to archive the event.  The success of the dance program, the AAFA in Dance degree and ultimately the success of dance students is dependent on all of these requests._x000D_
4) Outreach is another component needed to secure the success of the dance program and the students that are part of it.  During the semester we do several internal and external outreach initiatives.</t>
  </si>
  <si>
    <t>SP20-094</t>
  </si>
  <si>
    <t>Fitness and Wellness Technician Sr.</t>
  </si>
  <si>
    <t>Wellness Fitness Technician Senior (OYO):_x000D_
Job duties include:  Provides oversight and training assistance for individuals using the Fitness Center and fitness equipment. Responsibilities include Fitness Center programming and program promotion. Monitors and oversees participants in the Fitness Center and Fitness Center Staff. Providing program assistance, conducting orientation sessions and oversight of equipment.  Community collaboration and membership building including program promotion. Assists with preparation and retrieving information for reports and other programs. Assists with developing programming incentives Receives and responds to equipment related issues, student issues and concerns 5% - Other duties as assigned.  _x000D_
_x000D_
Our current fiscal year approved position was approved at one level too low for the job requirements.  Without the senior designation, the person in this position is not allowed to oversee staff.  This position will be required to hire and oversee non-credit fitness center instructors and senior group exercise instructors.  _x000D_
_x000D_
Job salary range:  : $32,470 - $42,211 (mid-range)</t>
  </si>
  <si>
    <t>SP20-095</t>
  </si>
  <si>
    <t>110-PVMAINCA-800540_INSTRCTO</t>
  </si>
  <si>
    <t>EMT</t>
  </si>
  <si>
    <t>Paramedic PT PSLA support staff (administrative assistant)</t>
  </si>
  <si>
    <t xml:space="preserve"> The $20,000 is for a part time paramedic administrative assistant.  The consequence of not having this position is compromise of the administrative effectiveness of the paramedic program.  </t>
  </si>
  <si>
    <t>3.1 - Enrich Learning and Organizational Effectiveness by Increasing the Diversity and Cultural Competency of Employees and Students</t>
  </si>
  <si>
    <t>SP20-096</t>
  </si>
  <si>
    <t>AAEC Full Time Academic Planner</t>
  </si>
  <si>
    <t xml:space="preserve">The Early College Programs office is requesting funding to higher a student service specialist sr. position to serve as the AAEC academic planner.  Under the new classification this places the individual at a 111 pay grade with a minimum salary of $37,175 plus benefits. _x000D_
_x000D_During the 2016-2017 academic year AAEC enrolled 371 unduplicated students and enrolled in 5,072 credits during the Fall and Spring semesters.  Their total FTSE For the year was 169.06.  There is a need for consistent academic planning, and coordination of business processes related to admissions and enrollment that would help this partnership operate at an optimal level.  Some of the challenges faced over the last two years include an inconsistent admissions/enrollment process.  As a result AAEC students were not properly flagged in SIS and students were getting dropped from classes.  This lead to inaccuracy of tracking and understanding the impact that the AAEC student population has on enrollment.  A full time academic planner would allow us to spend more time planning out academic pathways for students, helping students understand the progress they have made toward their degree or certificate, improve successful course completion rates by working with the high school administration on meeting additional academic needs of the students.  AAEC also has a goal of increasing the number of AA degree and AGEC certificate earners and a full time Academic Planner would aid in meeting this goal._x000D_
_x000D_During the 2016-2017 academic year AAEC students completed courses at a rate of 86 percent.  While this number is higher than the completion rate of the general population, it is much lower than the completion rate for other similar programs reported nationally (97-99%) and for PVCC's Early College Programs department as a whole (94%).  The goal for AAEC is to coordinate with AAEC administration, PVCC resources, and Early College Programs to aid in improving this rate to 95 percent.  Doing this would provide two benefits.  AAEC students would complete a higher number of credits attempted, which would allow student greater progress toward their AA or AGEC completion goals, and PVCC would retain more AAEC students in future semesters as their successful completion of a college course affects their enrollment ability in the following semester.  To give an example of how this impacts PVCC.  During the Fall 2016 semester 301 students took at least one college course.  Of those enrolled that Fall 95 students did not successfully complete 132 courses.  AAEC has a policy that restricts enrollment for any student who did not successfully complete a course.  This meant that 95 students were now ineligible to take a course at PVCC for the following Spring 2017 semester. During the Spring semester AAEC students enrolled in about 2.7 courses per student.  With 1/3rd of their student population ineligible to take an average of 2.7 courses (3 credits per course) PVCC missed out on a potential 769 credits of enrollment or 51.3 FTSE._x000D_
_x000D_
In the short time that PVCC has been able to utilize a half time academic planner during the 2017-2018 academic year we have been able to streamline processes and improve academic planning for AAEC students.  In addition to the justification stated above Early College Programs office would be able to utilize a full time academic planner to help connect the students to campus so that upon graduation from high school AAEC students (those that have earned 40 credits or less upon high school graduation, approximately 75% of their graduates) would see PVCC and our pathway options as a first choice for matriculation post high school. </t>
  </si>
  <si>
    <t>SP20-097</t>
  </si>
  <si>
    <t>Hoop of Learning Coordinator Salary Supplement</t>
  </si>
  <si>
    <t xml:space="preserve">The Hoop of Learning fund only supports the salary for a coordinator up to $20,000 per academic year.  The additional funds are required to allow a continuation of service of 24 hours a week for the entire academic year. </t>
  </si>
  <si>
    <t>SP20-098</t>
  </si>
  <si>
    <t>Student Service Specialist OYO ACE Support Salary</t>
  </si>
  <si>
    <t>In order to ensure continued consistent support of the ACE at PVCC and to assist w/ Early Outreach Programs initiatives, we are requesting continued support for a student services specialist, PSA 9. This position was funded as an OYO position for 16-17, 15-16, 14-15, 13-14, 12-13, and 11-12 and through three temporary staff positions for 09-11. After 8 years as an OYO this position has proven critical for the coordination of these early outreach programs. This was formerly the Puma College Connection/Dual Enrollment Salary._x000D_
_x000D_Early College and other early outreach programs provide extensive support for the high school students including but not limited to registration, advisement, testing, orientation, academic support, mentoring, early alert and tracking.  Coordination and communication for these activities and related clerical needs requires time, consistency, and follow-up.  Due to the nature of the programs, a strong relationship develops between this position and the students and parents.  The consistency and continuity required to facilitate this relationship for student success is best met by a permanent position. _x000D_
_x000D_If this request is not funded, minimal service expectations will not be met.  Early College programs would require temporary wages for the staff equivalent to this request to provide a minimal level of support.  Total enrollment and student retention would be negatively impacted.  If no staffing were provided at all, these programs would be eliminated.  _x000D_</t>
  </si>
  <si>
    <t>SP20-099</t>
  </si>
  <si>
    <t>Early College Programs Concurrent Enrollment Student Service Specialist Sr.</t>
  </si>
  <si>
    <t xml:space="preserve">The Early College Programs department would like to hire a student service specialist sr. to coordinate all student service functions (recruitment, admissions, enrollment, advising, and academic support/referrals) for all concurrent enrollment students outside of ACE and Hoop of Learning, approximately between 230-330 students every semester. This position would also reduce the student service load on the welcome center during peak times. This position would provide a case management level of student support and would also serve to liaison with the high schools for recruitment of new concurrent enrollment students. </t>
  </si>
  <si>
    <t>SP20-100</t>
  </si>
  <si>
    <t>Hamm, Michael</t>
  </si>
  <si>
    <t>110-PVMAINCA-800995_INSTRCTO</t>
  </si>
  <si>
    <t>Mathematics</t>
  </si>
  <si>
    <t>MAT 108 Tutors</t>
  </si>
  <si>
    <t>Continue to provide MAT 108 classes supplemental tutors beyond the one that is assigned to each section. The $25 class fee that MAT 108 students pay covers the one dedicated student tutor. However, if the class fills with 25 students we need 2 additional tutors, since there may be as many as 4-5 different courses represented. If the class has 12 - 18 students, we need one additional tutor. Improved success in MAT 108 will mean better retention in the students' primary math class, which will, in turn, increase the overall success rates in Developmental Math. $1100 will buy us 2 additional tutors (2 sections of 108) for Fall/Spring working 2 hrs./week for 28 weeks at $10/hr.</t>
  </si>
  <si>
    <t>SP20-101</t>
  </si>
  <si>
    <t>Evening Secretary</t>
  </si>
  <si>
    <t>We will continue to provide an evening secretary to work 2 - 6pm Mon - Thurs during the Fall and Spring semesters to provide service for the late afternoon/evening adjuncts and type Faculty Classroom evaluations and Student Evaluation of Instruction for ALL probationary Residential faculty and the adjuncts who get evaluated.</t>
  </si>
  <si>
    <t>SP20-102</t>
  </si>
  <si>
    <t>110-PVMAINCA-800195_INSTRCTO</t>
  </si>
  <si>
    <t>Biology</t>
  </si>
  <si>
    <t>Student/Temporary Lab Assistant for Life Science</t>
  </si>
  <si>
    <t>The Student Lab Assistants, under the direction of the Lab Coordinator and/or Lab Techs, will support Life Sciences laboratory activities. These individuals will be responsible for assisting in the preparation of precise chemical solutions, assisting with the setup of laboratory equipment for experiments, disposal of chemical waste, and maintaining the student laboratory environment. All Life Science courses include a laboratory component. To support the Life Science laboratory programs, we have to employ numerous lab assistants. With these individuals, laboratory coverage is provided from 7:00am to 10:00pm, Monday through Thursday and Friday, 8:00am - 2:00pm. With this expanded coverage, the integrity and continuity of the Science laboratories is maintained. If these positions are not funded, the coverage and operations of the Science laboratories will be compromised.</t>
  </si>
  <si>
    <t>SP20-103</t>
  </si>
  <si>
    <t>Part-Time Day Temporary Administrative Secretary Coverage LS/G Buildings</t>
  </si>
  <si>
    <t>The Life Sciences building requires part-time day administrative secretarial support. The building houses numerous full-time and adjunct faculty and support personnel. Administrative staff support is critical for the functioning of the building and the offering of courses and labs. Full-time and adjunct faculty supported by this individual is required. The workload generated with the operation of this building requires a part-time day administrative secretary. This individual is also back up for the  Administrative staff in G-Building.  If this request is not funded, the efficient operation of programs, courses and laboratories in the Life Sciences building will suffer. Without a part-time day administrative secretary in the building, students will have significantly reduced resources to resolve problems associated with courses, labs, instructors and other issues.</t>
  </si>
  <si>
    <t>SP20-104</t>
  </si>
  <si>
    <t>Student/Temporary Lab Assistant for Physical Science</t>
  </si>
  <si>
    <t xml:space="preserve">The Student Lab Assistants, under the direction of the Lab Coordinator and/or Lab Techs, will support Chemistry, Geology, Astronomy, Engineering and Physics laboratory activities. These individuals will be responsible for assisting in the preparation of precise chemical solutions, assisting with the setup of laboratory equipment for experiments, disposal of chemical waste, and maintaining the student laboratory environment._x000D_
All Physical Science courses include a laboratory component. To support the Physical Science laboratory program, we have to employ numerous lab assistants. With these individuals, laboratory coverage is provided from 7:00am to 10:00pm, Monday through Thursday and Friday, 8:00am - 2:00pm. With this expanded coverage, the integrity and continuity of the Science laboratories is maintained. If these positions are not funded, the coverage and operations of the Science laboratories will be compromised._x000D_
</t>
  </si>
  <si>
    <t>SP20-105</t>
  </si>
  <si>
    <t>Academic Assessment</t>
  </si>
  <si>
    <t>AAT &amp; Critical Thinking Academy Co-Chairs. Fall &amp; Spring.</t>
  </si>
  <si>
    <t>SP20-106</t>
  </si>
  <si>
    <t>Academic Assessment &amp; Program Review</t>
  </si>
  <si>
    <t>AAT &amp; Critical Thinking Co-Chairs. Summer. And Adjunct Faculty Stipend for Program Review.</t>
  </si>
  <si>
    <t>SP20-107</t>
  </si>
  <si>
    <t>Faculty Outreach &amp; Project Support</t>
  </si>
  <si>
    <t>SP20-108</t>
  </si>
  <si>
    <t>Faculty Stipend for New Online &amp; Hybrid Course Development</t>
  </si>
  <si>
    <t>SP20-110</t>
  </si>
  <si>
    <t>SIS Scheduler - Instructional Service Specialist</t>
  </si>
  <si>
    <t>Justification: Changes in SIS /HR have caused a bottleneck in SIS scheduling. Additional staff is needed to process SIS and faculty loads. _x000D_
Grade 109_x000D_
Hourly: $15.61-$24.98 (mid-point is $20.29)_x000D_
Salary: $32,470-$51,952 (mid-point is $42,211)_x000D_
Funding Type: Operational_x000D_
Strategic Priorities: 1.0 Access and Student Success_x000D_
Amount requested - Grade 109 - $42,211</t>
  </si>
  <si>
    <t>SP20-111</t>
  </si>
  <si>
    <t>Adjunct Faculty paid professional development</t>
  </si>
  <si>
    <t xml:space="preserve">In previous years, PVCC has paid adjunct faculty to attend and participate in EDGE and Ready, Set, Go, which are two programs that focus on pedagogy and philosophy of a learning centered college.  _x000D_
_x000D_
READY, SET, GO-- 4(sessions) per year. Each sessions 40 adjunct faculty for a total of 160 adjunct faculty. This is a 3-hour session at 27.50 per hour, which totals $13,200.00 </t>
  </si>
  <si>
    <t>SP20-112</t>
  </si>
  <si>
    <t>Part-time Front Office Coordinator</t>
  </si>
  <si>
    <t>In order to continue providing the highest level of support and services we should have a part-time front office coordinator. Currently, we have a part-time OSO supporting 4-CTL MAT employees with unique and specialized skill sets. We have merged the CDL into the CTL, which will mean another unique and specialized area that may need additional support from our part-time temporary worker. It is not in the institution best interest for long-term support.</t>
  </si>
  <si>
    <t>SP20-113</t>
  </si>
  <si>
    <t>Adjunct Faculty Support personnel</t>
  </si>
  <si>
    <t>Personnel to provide adjunct faculty support with professional growth and training opportunities. This is to maintain funding for the Adjunct Faculty personnel. Historically, this person oversaw the paperwork for adjunct faculty professional growth. I would like to expand the role to provide training sessions on weekends and evenings as well. I will train and mentor the person(s) for the purpose. Approx. 800 clock hours x 27.50 = 22000.00</t>
  </si>
  <si>
    <t>SP20-114</t>
  </si>
  <si>
    <t>New FT faculty hire</t>
  </si>
  <si>
    <t>Increase student enrollment by 24 students by creating an evening/weekend cohort. Approval is needed through ACEN and AZBN per accreditation regulations</t>
  </si>
  <si>
    <t>SP20-115</t>
  </si>
  <si>
    <t>FT Lab Coordinator</t>
  </si>
  <si>
    <t xml:space="preserve">Hiring and compensation depend upon the college plan. </t>
  </si>
  <si>
    <t>SP20-116</t>
  </si>
  <si>
    <t>FT Nursing department Administrative Assistant.</t>
  </si>
  <si>
    <t xml:space="preserve">Dedicate Gina Neskovic as FT administrative assistant for the nursing department only to support the increasing demand for secretarial needs as the program expansion occurs. By accreditation, a FT nursing department should have a FT staff to meet the secretarial daily operational needs. _x000D_
Fair compensation benefits. </t>
  </si>
  <si>
    <t>SP20-117</t>
  </si>
  <si>
    <t>110-PVMAINCA-800470_INSTRCTO</t>
  </si>
  <si>
    <t>English &amp; Journalism</t>
  </si>
  <si>
    <t>Embedded tutor for ENG 101 /2 part time</t>
  </si>
  <si>
    <t xml:space="preserve">With all of the changes in developmental education placement, the suite of support includes the use of embedded tutors. Embedded tutors would be scheduled with English faculty on designated days particularly on drafting or conferencing days for essays. Embedded tutors will work separately from the LSC and will be integrated into classrooms on an as needed basis. _x000D_
_x000D_
The estimated cost is based on 20 hours per week at $15/hour for 9 months. However, some weeks may not have any demand.  Because this would be a new service, it is difficult to anticipate how this will be scheduled exactly. </t>
  </si>
  <si>
    <t>SP20-118</t>
  </si>
  <si>
    <t>110-PVMAINCA-801695_STDNT_SV</t>
  </si>
  <si>
    <t>Counseling &amp; Guidance</t>
  </si>
  <si>
    <t>Temp Wages - Administrative Secretary</t>
  </si>
  <si>
    <t xml:space="preserve">The Counseling and Personal Development Division provides a comprehensive counseling instruction and service program to assist students, staff, and community members to attain their academic, career, and personal goals. _x000D_
_x000D_DESCRIPTION:_x000D_
* This position provides direct and indirect support to counselor, service faculty and the learners they serve;_x000D_
* This position will help provide support for the administrative tasks associated with iStartSmart?s college success classes_x000D_
* This position provides technical support to assess division efficiency, effectiveness and impact on student learning outcomes; _x000D_
* This position schedules faculty, staff and students appointments;_x000D_
* The clerical and technical support this position provides is essential in order for the division to fulfill its mission and to become more comprehensive and niche-focused. _x000D_
*Counselors work with such student population niches as student athletes, students attending orientation (which will likely be required for developmental students), ESL students, and adult re-entry students. Without adequate staffing infrastructure, the ability for Counselors to work effectively and efficiently with these populations can become compromised._x000D_
_x000D_JUSTIFICATION_x000D_
1. A receptionist position for the Counseling Division has been requested for the past 13 years without being funded. The division had an OYO position for 6 years until 7 years ago when that position was eliminated. For the past 7 years the division has been using temporary funds for this position. Further, the funds were cut by 22% a several years ago which meant a reduction in staff for a position that was already under-funded. For stability purposes, this position should be funded as a full-time position. We are simply requesting temporary funds to maintain the last several years of staffing needs._x000D_
_x000D_2. Significant increases in division staffing, growth and comprehensiveness of division curriculum and services, and student utilization of division programs and services has occurred.  Accordingly, demands on the time and role and function of this position have increased._x000D_
_x000D_
3.  With the new student Welcome Center, especially designed for new students, staffing has become even more significant. The need for an administrative assistant is critical to meet student's needs._x000D_
_x000D_
CONSEQUENCES FOR NOT FUNDING_x000D_
1. Less likelihood for Counseling to meet student?s needs appropriately, timely, and adequately._x000D_
2. Decline in Counseling organizational efficiency and effectiveness_x000D_
3. Potential reduction in student access to counseling programs and services._x000D_
4. Less success with iStartSmart as those students are heavy users of Counseling_x000D_
</t>
  </si>
  <si>
    <t>SP20-119</t>
  </si>
  <si>
    <t>Part-Time wages Counseling services</t>
  </si>
  <si>
    <t>This request will cover 10 hours/week of counseling hours for fall and spring semester to provide personal, career, and crisis counseling to students, consultation to faculty and staff, workshops throughout both semesters. Without this support counseling will be unable to provide necessary and timely counseling assistance to students and staff. Currently, we are near capacity during many weeks; however, we lost a full-time counselor that is not likely to be replaced. So, we basically have an almost 18% reduction in our staffing.</t>
  </si>
  <si>
    <t>SP20-120</t>
  </si>
  <si>
    <t>320-PVMAINCA-802345A_INSTRCT</t>
  </si>
  <si>
    <t>Fire Academy</t>
  </si>
  <si>
    <t>Sustain FSC Skills Lab Instructors &amp; Temp. Lab Tech assistance - Temp wages OYO</t>
  </si>
  <si>
    <t xml:space="preserve">Sustain existing funding for the FSC budget, in order to pay for Skills Evaluators, part-time Instructors, and part-time temp help (lab techs), which are required in order to offer classes and to sustain the FSC Program. This request has been funded each year._x000D_
_x000D_The delivery of specialized FSC courses has contributed to the overall growth of the FSC program. Total FSC FTSE has increased 28.0% from 2017 (121.6) to 2018 (156.1) and 12.2% over the past five years. Since the first offering of this course, over 1,100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2012 to 2018, 410 Firefighter Operations CCL?s-5557 and 128 AAS degrees have been awarded-per IE). Students are drawn to this program due to the quality of instruction, learning strategies, established partnerships, quality of equipment and learning facilities, which has contributed to a 96% pass rate on the IFSAC accredited AZ State FF I &amp; II certification written exam, and a 91% pass rate on the IFSAC accredited AZ State and  Hazardous Materials/WMD/Terrorism 1st Responder Awareness/Operations and PROBOARD accredited TEEX (Texas A&amp;M Engineering &amp; Extension Service) Hazardous Materials/WMD/Terrorism 1st Responder Awareness/Operations certification written exams from fall 2012 to spring 2018. Over that same period, the performance-based skills certification testing for both, FF I &amp; II and Hazmat, has resulted in a 100% pass rate.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over 500 students have been hired as professional firefighters, ranging from Hawaii to New York._x000D_
_x000D_
Consequences of not funding this request will result in the FSC Program cutting services and canceling primary classes or reducing available seats. Interest and industry requests related to specialized performance-based skills courses has increased. In order for us to offer these specialized courses, the funding is necessary for the skills lab instructors, skills evaluators, and part-time temp help, in order to maintain industry standard student/instructor ratios required by local, state &amp; federal standards. The PVCC Firefighter Operations Academy (FSC102) is the largest, and also recognized as the best, Firefighter candidate academy in the state and is the cornerstone of entry-level fire fighter training, education and career preparation. This course supports the other courses offered and encourages the students to persist towards program completion._x000D_
_x000D_
The FSC program would also not be able to meet the community needs by providing highly educated and trained workers to fill immediate firefighter positions in Maricopa County, as well as statewide, and nationwide. Additionally, we will not be able to service our students and they will seek other programs at other colleges to fulfill their FSC education, training, and developmental needs._x000D_
</t>
  </si>
  <si>
    <t>SP20-121</t>
  </si>
  <si>
    <t>Hire new Residential Vocal/Music Faculty member</t>
  </si>
  <si>
    <t>Hire a new full-time/residential Vocal/Music Faculty member. This will expanded the music program as well as the theater program. This new faculty position would teach part of the core load at Black Mountain and create a vocal/choral music ensemble housed at the Black Mountain Campus.</t>
  </si>
  <si>
    <t>SP20-122</t>
  </si>
  <si>
    <t>Part-time wages for Music Accompanists</t>
  </si>
  <si>
    <t>$5,000 in funds to pay part-time wages for music accompanists for rehearsals, concerts, and outreach performances.</t>
  </si>
  <si>
    <t>SP20-123</t>
  </si>
  <si>
    <t>Part-time wages for Art Lab Technicians</t>
  </si>
  <si>
    <t>This request is for $10,000 for support the part-time wages for two art lab techs in D-building (Ceramics), in which one lab tech will serve the needs of ceramics and sculpture ($4,000), one lab tech will support the needs and out of class meeting requirements for glass blowing ($4,000) and one lab tech will support the needs and out of class meeting requirements for drawing/painting/design courses ($2,000)._x000D_
_x000D_
All of our art courses now require out of class time to complete coursework and competencies and in many cases, students will need to come to PVCC to use the college's facilities to complete the assigned work. Hiring part-time lab techs will ensure safety for all students and also provide additional support for cleaning and maintenance of the art facilities.</t>
  </si>
  <si>
    <t>SP20-124</t>
  </si>
  <si>
    <t>Part-time wages for Theater Productions</t>
  </si>
  <si>
    <t xml:space="preserve">These funds are used to pay for director, designer, choreographer, music director, stage manager and crew stipends for four (4) theater productions in the 2019-2020 season. The same amount of funds were allocated for FY18-19._x000D_
_x000D_
</t>
  </si>
  <si>
    <t>SP20-125</t>
  </si>
  <si>
    <t>New Digital Arts/Multi-Media Faculty Member</t>
  </si>
  <si>
    <t>This request is to hire a full-time residential faculty to teach digital art and multimedia courses, to serve on the STEAM committee, to serve on the Video Game Development degree task force, and to be the lead faculty member for the newly created hi-tech digital arts lab/learning studio._x000D_
_x000D_
The college has already committed $100k to the classroom and this faculty position would serve as the main instructor and leader for the development of the classroom and digital arts program at PVCC.</t>
  </si>
  <si>
    <t>SP20-126</t>
  </si>
  <si>
    <t>Outreach and Recruitment Funds for Fine Arts</t>
  </si>
  <si>
    <t>This request is for $25,000 in funds will cover the costs of community outreach, engagement, off-campus concert,s presentations, workshop and other outreach and recruitment activities which all result in greater visibility for the college, increased participation in events, higher audience totals and increased enrollment.</t>
  </si>
  <si>
    <t>SUB-TOTAL</t>
  </si>
  <si>
    <t>Colege Priority</t>
  </si>
  <si>
    <t>SP20-165</t>
  </si>
  <si>
    <t>Espinoza, Lori</t>
  </si>
  <si>
    <t>110-PVMAINCA-801930_INST_SPP</t>
  </si>
  <si>
    <t>College Presidents</t>
  </si>
  <si>
    <t>PRE</t>
  </si>
  <si>
    <t>Diversity and Inclusion Programming/Activities for Faculty and Staff</t>
  </si>
  <si>
    <t>SP20-166</t>
  </si>
  <si>
    <t>Hedlund, Ellen</t>
  </si>
  <si>
    <t>110-PVMAINCA-802125_INST_SPP</t>
  </si>
  <si>
    <t>Development</t>
  </si>
  <si>
    <t>Operating Events and Alumni Activities</t>
  </si>
  <si>
    <t xml:space="preserve">Operating resources are essential in order to successfully support the resource development efforts in the areas of fund raising, donor relations/stewardship, donor prospect development, alumni relations, community relations and special events activities, and the day to day operations of the Development and Community Relations office._x000D_
_x000D_The previous operating Fund 1 budget (other than two Board-approved staff salaries) for this unit had been funded on an OYO basis with no base budget.  Continued OYO fund support or a base budget allocation will be needed for basic operations such as supplies, equipment, materials, collateral, postage, contractual services, professional development/travel, and any projects/programs, initiatives or events._x000D_
_x000D_A modest budget allocation is needed to support the current initiatives and new efforts in development such as: support for the Annual Community Awards and Donor Recognition event,  Scholarship/Donor event, President Community Advisory Council, Philanthropy Council, the creation of an annual giving program, donor cultivation and stewardship activities/events, implementing a donor/alumni/community electronic communications system, related fund raising and community relations collateral, postage and events, the creation of an alumni program, professional services for program development, support and consulting, and community relations memberships and sponsorships. Support for preparation and full participation in MCCF Major Gift Campaign will also require additional resources. These efforts will need to be properly supported in order to increase the development function of the college, as recommended by the current (2010/11) organizational review/campaign planning study by MCCF consultant The Phoenix Philanthropy Group and the Balser Group Study (2007) commissioned by the MCCD Foundation and supported by the District?s strategic plan and desire for comprehensive resource development operation at each of the colleges._x000D_
_x000D_If not funding the Development and Community Relations office will be not be able to operate to carry out the mission of the office and the college will not make progress in resource development, community relations and alumni relations initiatives.  The college will not be able to fully and effectively participate in the MCCF Major Gift Campaign._x000D_
_x000D_
Additional Object Codes include:  53550 Official Functions, 53210 Professional Services, 53500 Advertising, 53300 Printing, 54100 General Supplies, 55400 Organizational Dues, 56210 Postage, 56515 Registration, 59835 Awards/Honorariums_x000D_
_x000D_
</t>
  </si>
  <si>
    <t>SP20-167</t>
  </si>
  <si>
    <t>Annual postage including bulk</t>
  </si>
  <si>
    <t>Purchasing our annual bulk postage as well as periodic postage for mailings, invitations, newsletters, thank yous, etc. This is a critical component to the Development Office and the stewardship we provide to our donors and community partners.</t>
  </si>
  <si>
    <t>SP20-168</t>
  </si>
  <si>
    <t>Annual CASE Conference Attendance</t>
  </si>
  <si>
    <t>Attendance at professional conferences is invaluable to the operations of the Development Office. Learning new fundraising strategies, developing better plans for alumni relations, exploring other institutions' cultivation and stewardship programs, and networking with colleagues across the country greatly enhances the operations of the Development Office at PVCC.</t>
  </si>
  <si>
    <t>SP20-169</t>
  </si>
  <si>
    <t>PRe</t>
  </si>
  <si>
    <t>Membership Dues for Various Chambers</t>
  </si>
  <si>
    <t>PVCC is a member of many Chambers which enhances our community relations. It is imperative for PVCC to remain active in these organizations, attend their events, be present at their regular meetings, network, and showcase PVCC programs and activities, etc. Without this budget allocation, it will be impossible to stay active with these groups.</t>
  </si>
  <si>
    <t>SP20-170</t>
  </si>
  <si>
    <t>Printing for Various Events</t>
  </si>
  <si>
    <t>Printing is required for invitations, programs, and marketing materials for 30th anniversary celebrations and events, as well as any annual events like Celebrate Paradise. If funding is not approved, events and celebrations may not be possible.</t>
  </si>
  <si>
    <t>SP20-171</t>
  </si>
  <si>
    <t>Snelling, John</t>
  </si>
  <si>
    <t>110-PVMAINCA-802095_INST_SPP</t>
  </si>
  <si>
    <t>Institutional Effectiveness</t>
  </si>
  <si>
    <t>HLC Annual Conference 2019</t>
  </si>
  <si>
    <t xml:space="preserve">This request is to send a small team of 5 (Faculty and Staff) to the April 2019 HLC Annual Conference.  This meeting is will be of high value as the college will need to better understand the HLC Quality Initiative Project, its scope, and other fundamental concepts. The college will be required to submit a comprehensive initiative project during the Summer of 2019.  </t>
  </si>
  <si>
    <t>1.3 - Legal Required / Obligations</t>
  </si>
  <si>
    <t>SP20-172</t>
  </si>
  <si>
    <t>Analytic Tool - Software Maintenance Renewal</t>
  </si>
  <si>
    <t>Currently, the IE Office uses several key software to aid in our data extraction, transformation, and loading for data analysis and visualization.  In effort to maintain and keep the software up to date and to achieve the highest performance an annual maintenance for each software are due.  This request is to fund the annual maintenance of Tableau and Veera.  These tools have proven invaluable for the research office and provide to the college much benefit in terms of much more richer analytics and modern query availability for the IE Staff.  The annual cost for Tableau is $2,000 (2 license agreements) and annual cost for Veera is $2,000 (2 license agreements).</t>
  </si>
  <si>
    <t>SP20-173</t>
  </si>
  <si>
    <t>Temp Wages Special Events Coordinator</t>
  </si>
  <si>
    <t xml:space="preserve">The position is essential to maintain and improve the operational effectiveness and efficiency in executing special events in support of resource development, community relations and official college ceremonies.  The position is critical to support the activities of the MCCF Major Gift Campaign and to further engagement and stewardship efforts with donors, donor prospects, community/business leaders, alumni, retirees, supporters, alumni and other external constituents. This position supports the work of the Office of Development and Community Relations and the Office of the President._x000D_
_x000D_The Development/Community Relations office will need the continued the services of a part-time Community Relations specialist currently funded through an OYO wages allocation.  It will be critical to have this position with part-time Temporary or Board-approved staffing to continue to support efforts related to community/special events and to increase the number of development, alumni and community engagement functions of the college, as recommended by the current (2010/11) organizational review/campaign planning study by MCCF consultant The Phoenix Philanthropy Group and the Balser Group Study (2007) commissioned by the MCCD Foundation and supported by the District?s strategic plan and desire for comprehensive resource development operation at each of the colleges._x000D_
_x000D_If this position is unfunded the college will not be able to fully and effectively participate in the MCCF Major Gift Campaign.  We will not be able to meet the current level of service and support to the campus community in regards to special events.  We will not be able to sustain the current progress made in elevating the level of professionalism, quality and operational efficiency of special events.  Progress will be stalled in developing plans for new donor stewardship, cultivation activities and alumni/community leader/donor engagement and recognition events in support of resource development._x000D_
_x000D_Coordinator Special Events  MAT 13_x000D_
Temp Wages $10,000  ($19/hr x 15 hr/wk x 35 weeks)_x000D_
</t>
  </si>
  <si>
    <t>SP20-174</t>
  </si>
  <si>
    <t>Temp Wages A Building Receptionist/Development Support</t>
  </si>
  <si>
    <t xml:space="preserve">Receptionist and Support Staff for Development.  This position is essential to maintain and improve the operational effectiveness and efficiency of the Administration Office and supports the work of the Office of Development and Community Relations and the Office of the President. _x000D_
_x000D_If this position is unfunded the college will not be able to sustain the current levels of professionalism, quality and operational efficiency the Administration Office and the Development Office Operations.  We will not fully and effectively participate in the MCCF Major Gift Campaign.  We will not be able to meet the current level of service and support to the campus community in regards to special events.  We will not be able to sustain the current progress made in elevating the level of professionalism, quality and operational efficiency the Development Office Operations. Progress will be stalled in developing plans for new donor stewardship, cultivation activities and alumni/community  leader/donor engagement and recognition events in support of resource development._x000D_
_x000D_Office Assistant Temp Level 3_x000D_
Temp Wages $18,540  ($15.45/hr x 24 hr/wk x 50 weeks)_x000D_
</t>
  </si>
  <si>
    <t>SP20-175</t>
  </si>
  <si>
    <t>Compensation for non-faculty musicians</t>
  </si>
  <si>
    <t>The 30th anniversary celebrations at PVCC will require musicians and they must be compensated.</t>
  </si>
  <si>
    <t>SP20-176</t>
  </si>
  <si>
    <t>Part Time Wages for Alumni Coordinator</t>
  </si>
  <si>
    <t>In order to maintain the successful efforts made last year during the 30th anniversary to create an alumni program and engage alumni with the college, part time wages for an alumni coordinator are necessary. The Development Director cannot be successful completing the necessary development work for the college without  a part time alumni coordinator.</t>
  </si>
  <si>
    <t>SP20-177</t>
  </si>
  <si>
    <t>Part Time Wages for Community Relations Coordinator</t>
  </si>
  <si>
    <t>In order to maintain the successful efforts made last year during the 30th anniversary to develop our relationships with chambers of commerce, community partners, and various other internal and external constituents, part time wages for a community relations  coordinator are necessary. The Development Director cannot be successful completing the necessary development work for the college without  a part time community relations coordinator.</t>
  </si>
  <si>
    <t>SP20-178</t>
  </si>
  <si>
    <t>Shadburne, Michaelle</t>
  </si>
  <si>
    <t>110-PVMAINCA-801920_INST_SPP</t>
  </si>
  <si>
    <t>Employee &amp; Organizational Learning</t>
  </si>
  <si>
    <t>Temp wages to support the Center for Employee &amp; Organizational Learning</t>
  </si>
  <si>
    <t>This department does not have board approved administrative staff support.  The coordinator position has been filled by temp wages since 2005.  Each year the work load has increased while the temp wages funded and number of hours employees can work had decreased.  Over the years, workload and accomplishments demonstrate the need to fund this position</t>
  </si>
  <si>
    <t>SP20-179</t>
  </si>
  <si>
    <t>OYO wages for Data Analyst - Job family</t>
  </si>
  <si>
    <t xml:space="preserve">As the College are utilizing data and requesting data more frequently and given the number of new initiatives in the areas of Completion and Persistence Academy, Strategic Enrollment Management, and Program Review, the Office of Institutional Effectiveness is requesting an funds to add an OYO Research Analyst.  The analyst would assist in contributing to the college mission and vision through extensive focus on providing support related to the goals outlined in the Persistence and Completion Agenda.  Specifically; 1) Enhance the ability of faculty and staff expertise in achieving student learning, persistence, and completion goals, 2)To make better use of college data to identify student persistence and completion patterns and to optimize strategies for student success, and 3)To strengthen relationships of student persistence and completion and align assessment of student learning and program review efforts._x000D_
_x000D_
</t>
  </si>
  <si>
    <t>Had  9K unnused funds last year. Fully utlize existing budget as needed to support this request.</t>
  </si>
  <si>
    <t>Remove additional position and blend Hoop and ACE into one position. 
20K from District
We need $22,211 (Mid point for Grade 109 is $42,211)</t>
  </si>
  <si>
    <t>PVCC Budget - Planning for FY2015-16</t>
  </si>
  <si>
    <t>As of Feb 30, 2015</t>
  </si>
  <si>
    <t xml:space="preserve">Enrollment </t>
  </si>
  <si>
    <t>FY2014-15 **</t>
  </si>
  <si>
    <t xml:space="preserve">FY2013-14 </t>
  </si>
  <si>
    <t>FY2012-13</t>
  </si>
  <si>
    <t>FY2011-12</t>
  </si>
  <si>
    <t>FY2010-11</t>
  </si>
  <si>
    <t>FY2009-10</t>
  </si>
  <si>
    <t>Total</t>
  </si>
  <si>
    <t>FTSE (+/-)</t>
  </si>
  <si>
    <t>Enrollment Percentage  (+/-)</t>
  </si>
  <si>
    <t>Audited FTSE</t>
  </si>
  <si>
    <t>Enrollment Fund (+/-)</t>
  </si>
  <si>
    <t>Base Budget Cut by District</t>
  </si>
  <si>
    <t>Total Fund (+/-)</t>
  </si>
  <si>
    <t>Note: **  FY14-15 is an estimate and FY2014-15 will be hold harmless for enrollment decline.</t>
  </si>
  <si>
    <t>Funds</t>
  </si>
  <si>
    <t>Fund 1 - General Operational</t>
  </si>
  <si>
    <t>FY2014-15</t>
  </si>
  <si>
    <t xml:space="preserve">Original Budget </t>
  </si>
  <si>
    <t xml:space="preserve">Operational Budget </t>
  </si>
  <si>
    <t>Actual Expenses &amp; Commitments</t>
  </si>
  <si>
    <t>Transferred to fund 7</t>
  </si>
  <si>
    <t>Actual Fund Balance</t>
  </si>
  <si>
    <t xml:space="preserve">Fund 230 - Auxiliary Revenue </t>
  </si>
  <si>
    <t>Beginning Budget</t>
  </si>
  <si>
    <t>Actual Revenue</t>
  </si>
  <si>
    <t>Actual Expenses</t>
  </si>
  <si>
    <t>Fund 250 - Course Fees</t>
  </si>
  <si>
    <t>Fund 280 - Non-Credit Course Fees</t>
  </si>
  <si>
    <t>Fund 3 - Carl Perkins &amp; Prop 301</t>
  </si>
  <si>
    <t>Fund 710 - College Capital</t>
  </si>
  <si>
    <t>Transfer from Operational Fund 1</t>
  </si>
  <si>
    <t xml:space="preserve">Fund 730 - 2004 GO Bond Obligation  </t>
  </si>
  <si>
    <t>Fund 910 &amp; 920 - Clubs and Organizations</t>
  </si>
  <si>
    <t>Current Year and Future Budget Plans</t>
  </si>
  <si>
    <t>FY 12 OYO Allocation</t>
  </si>
  <si>
    <t>FY 15 OYO Funding</t>
  </si>
  <si>
    <t>FY14 OYO Funding</t>
  </si>
  <si>
    <t>%</t>
  </si>
  <si>
    <t>FY18 OYO Funding</t>
  </si>
  <si>
    <t>FY19 OYO Funding</t>
  </si>
  <si>
    <t>Additional Fund for FY19</t>
  </si>
  <si>
    <t>FY20 OYO Funding</t>
  </si>
  <si>
    <t xml:space="preserve">FY20 OYO Additional Fund </t>
  </si>
  <si>
    <t xml:space="preserve">Total FY20 OYO Fund </t>
  </si>
  <si>
    <t>College Administration</t>
  </si>
  <si>
    <t>Academic Affairs</t>
  </si>
  <si>
    <t>Student Affairs ***</t>
  </si>
  <si>
    <t>Administrative Services</t>
  </si>
  <si>
    <t>FY2019-20 Operational Fund Assumption</t>
  </si>
  <si>
    <t>FY2019 -20 OYO Commitments and Obligations Assumption</t>
  </si>
  <si>
    <t>FY2020 Estimated Expenses</t>
  </si>
  <si>
    <t xml:space="preserve">FY17-18              Approved </t>
  </si>
  <si>
    <t>FY18-19              Approved</t>
  </si>
  <si>
    <t xml:space="preserve">FY19-20              Recommended </t>
  </si>
  <si>
    <t>Funding Sources</t>
  </si>
  <si>
    <t>FY20 OYO Operational Fund</t>
  </si>
  <si>
    <t>OYO Commitments &amp; Obligations</t>
  </si>
  <si>
    <t>from **</t>
  </si>
  <si>
    <t xml:space="preserve">Program Initiative &amp; Puma path </t>
  </si>
  <si>
    <t>Subtotal:</t>
  </si>
  <si>
    <t>Additional Fund for FY20</t>
  </si>
  <si>
    <t>Student Affairs</t>
  </si>
  <si>
    <t>TOTAL:</t>
  </si>
  <si>
    <t>(A)</t>
  </si>
  <si>
    <t>- "I Will Graduate"</t>
  </si>
  <si>
    <t>- Accuplacer, CELSA &amp; Perceptous License</t>
  </si>
  <si>
    <t xml:space="preserve">FY2020 Funding Sources </t>
  </si>
  <si>
    <t>Carry-Forward from FY19</t>
  </si>
  <si>
    <t xml:space="preserve">Part-time Base Budget </t>
  </si>
  <si>
    <t xml:space="preserve">Contingency Base Budget </t>
  </si>
  <si>
    <t>from ***</t>
  </si>
  <si>
    <t>- HR Resources  (for helping HCM)</t>
  </si>
  <si>
    <t>(B)</t>
  </si>
  <si>
    <t>President Office</t>
  </si>
  <si>
    <t>FUND BALANCE in SURPLUS:</t>
  </si>
  <si>
    <t>(A) + (B)</t>
  </si>
  <si>
    <t xml:space="preserve"> - HLC</t>
  </si>
  <si>
    <t>FY2020 Other Funding Sources</t>
  </si>
  <si>
    <t xml:space="preserve">Institutional </t>
  </si>
  <si>
    <t>Fund 230 (Carry-Forward 210)</t>
  </si>
  <si>
    <t>- Enrollment Decline</t>
  </si>
  <si>
    <t>Base</t>
  </si>
  <si>
    <t>Fund 230 (Special Project)</t>
  </si>
  <si>
    <t>Fund 280 (Meet &amp; Confer transfers )</t>
  </si>
  <si>
    <t>TOTAL Commitments and Obligations:</t>
  </si>
  <si>
    <t>**</t>
  </si>
  <si>
    <t>Prop 301 and other grants</t>
  </si>
  <si>
    <t xml:space="preserve">Recommended Fund in Base </t>
  </si>
  <si>
    <t>Notes:  Not included Prop301 $1.6M received for Qblg and Nursing Prog</t>
  </si>
  <si>
    <t>FY2019-20 Budget Recommendations for Enrollment Decline</t>
  </si>
  <si>
    <t xml:space="preserve">Current Base Budget Reserved for Enrollment </t>
  </si>
  <si>
    <t xml:space="preserve"> Fund 280 transferred  </t>
  </si>
  <si>
    <t xml:space="preserve"> P/T Wages (51310)</t>
  </si>
  <si>
    <t xml:space="preserve">Current Base Budget Reserved </t>
  </si>
  <si>
    <t xml:space="preserve"> P/T Evening   (51122)</t>
  </si>
  <si>
    <t>Salary Push-Pull</t>
  </si>
  <si>
    <t xml:space="preserve"> Copy Services  (53220)</t>
  </si>
  <si>
    <t xml:space="preserve">Telephone $20K &amp; Salary P/P $32,298 </t>
  </si>
  <si>
    <t>FY16-17 Enrollment (2.3%)  $231K</t>
  </si>
  <si>
    <t xml:space="preserve">TOTAL: </t>
  </si>
  <si>
    <t>Enrollment Reduction Estimate</t>
  </si>
  <si>
    <t>(-/+)</t>
  </si>
  <si>
    <t>- Online Tutoring</t>
  </si>
  <si>
    <t xml:space="preserve">- Guided Pathways </t>
  </si>
  <si>
    <t>- Dean of Students budget for activities and programs</t>
  </si>
  <si>
    <t xml:space="preserve">FY2019-20  Budget Requests Summary </t>
  </si>
  <si>
    <t xml:space="preserve">Operational Fund </t>
  </si>
  <si>
    <t>Student Services</t>
  </si>
  <si>
    <t>Information Technology</t>
  </si>
  <si>
    <t>President Office Staff</t>
  </si>
  <si>
    <t>Total:</t>
  </si>
  <si>
    <t xml:space="preserve">Capital Fund </t>
  </si>
  <si>
    <t>Technology Capital</t>
  </si>
  <si>
    <t>Occupational Capital</t>
  </si>
  <si>
    <t>Non-Technology Capital</t>
  </si>
  <si>
    <t xml:space="preserve">Library </t>
  </si>
  <si>
    <t>Facilities &amp; Furniture</t>
  </si>
  <si>
    <t>Grand Total:</t>
  </si>
  <si>
    <t>FY20 COLLEGE BUDGET DEVELOPMENT - PRESIDENT OFFICE STAFF</t>
  </si>
  <si>
    <t xml:space="preserve">FY20 COLLEGE BUDGET DEVELOPMENT - ACADEMIC AFFAIRS </t>
  </si>
  <si>
    <t>FY20 COLLEGE BUDGET DEVELOPMENT - INFORMATION TECHNOLOGY</t>
  </si>
  <si>
    <t>FY20 COLLEGE BUDGET DEVELOPMENT  - COLLEGE TECHNOLOGY CAPITAL REQUESTS</t>
  </si>
  <si>
    <t>Cost Per Item</t>
  </si>
  <si>
    <t>Quantity</t>
  </si>
  <si>
    <t>SP20-150</t>
  </si>
  <si>
    <t>Desktop Workstation Replacement (Academic and Employee)</t>
  </si>
  <si>
    <t>Desktop Workstation Replacement (Academic and Employee): 100_x000D_
_x000D_Academic (59)_x000D_
Instructor Stations: 59_x000D_
_x000D_-----------------------------------------_x000D_
_x000D_Employee (41)_x000D_
General Replacement: 33_x000D_
Contingency (anticipated hires and spares): 8</t>
  </si>
  <si>
    <t>Capital Technology</t>
  </si>
  <si>
    <t>SP20-151</t>
  </si>
  <si>
    <t>Laptop Workstation Replacement (Academic and Employee)</t>
  </si>
  <si>
    <t>Laptop Workstation Replacement (Academic and Employee): _x000D_
_x000D_Academic (54)_x000D_
Mobile Cart OH2: 30_x000D_
Mobile Cart H104: 24_x000D_
_x000D_-----------------------------------------_x000D_
_x000D_Employee (17)_x000D_
General Replacement: 12_x000D_
Contingency (anticipated hires and spares): 5</t>
  </si>
  <si>
    <t>SP20-153</t>
  </si>
  <si>
    <t>Upgrade or Replacement of Wireless Network System</t>
  </si>
  <si>
    <t xml:space="preserve">A large portion of PVCC's wireless network system hardware (about 2/3) from Adrian Bluesocket has reached an EOL/EOS date with the vendor, and needs to be replaced. This system of equipment and software provides all wireless services at the college. Now responsible for the traffic of 15 different networks that are used for examples such as student payment, instruction, college business, wireless video, student/community Internet access, printing, etc.... This has become an especially critical service-layer in the academic environment, as this campus now has more mobile carts than stationary lab classrooms. </t>
  </si>
  <si>
    <t>SP20-154</t>
  </si>
  <si>
    <t>Enterprise Servers</t>
  </si>
  <si>
    <t>There are a variety of servers that are in use in the IT data center that cannot be virtualized. These device are either on deprecated hardware, or will be soon. These devices currently operate multiple services, and need to remain running outside of our virtualized cluster. This includes services such as logging network traffic, storage for Marketing projects, and Active Directory (CIMS) authentication.</t>
  </si>
  <si>
    <t>SP20-022</t>
  </si>
  <si>
    <t>110-PVMAINCA-800300_INSTRCTO</t>
  </si>
  <si>
    <t>Speech &amp; Drama</t>
  </si>
  <si>
    <t>New Technology for M202 Classroom Use</t>
  </si>
  <si>
    <t>July 1, 2020 place in M 202._x000D_
_x000D_Replacement of outdated equipment for Communication students._x000D_
_x000D_$999-(Retail) for MacBook Air_x000D_
$329 (Retail) i-Pad 9.7_x000D_
_x000D_$99 (Retail) Apple Pencil_x000D_
All three items are intended for M202 classroom use and would remain locked in M202._x000D_
_x000D_The MacBook Air would be a replacement for the old MacBook Pro that is now used with the Apple TV as a presentation device. (Laptop screen is streamed to large screen TV). While primarily intended for instructor use, it would be available for student presentations as well._x000D_
The I-pad would also be a replacement for an old ipad. Of special importance is the purchase of the Apple pencil. Our current old ipad is not compatible with the Apple pencil. The ipad, along with the Apple pencil, will primarily serve instructors for on-the-fly lecture  notes. In a sense, it replaces the use of the white board. However, when such notes are written on an ipad, they can be easily saved and uploaded to Canvas for student viewing as well.</t>
  </si>
  <si>
    <t>SP20-156</t>
  </si>
  <si>
    <t>Purchase emerging technologies for faculty, staff and students</t>
  </si>
  <si>
    <t>New technologies are continually emerging to enhance teaching and learning as well as administrative efficiency.  Our lengthy planning and budgeting process does not facilitate timely purchases of these technologies.  Therefore, an emerging technology fund is needed to ensure funding is available as needed.  The requests will be brought to TCT before being funded.</t>
  </si>
  <si>
    <t>SP20-159</t>
  </si>
  <si>
    <t>Purchase Emergency Technologies for Academics or Institution</t>
  </si>
  <si>
    <t>Our lengthy planning and budgeting process does not facilitate timely purchases of technology in an unplanned emergency. Therefore, an emergency technology fund is needed to ensure funding is available as needed to mitigate unforeseen technology emergencies. The requests will be brought to TCT for review before being funded.</t>
  </si>
  <si>
    <t>SP20-025</t>
  </si>
  <si>
    <t>Provide AV Support for H102.</t>
  </si>
  <si>
    <t>2ea 60 Flat Screen TV's for H102 including mounts, splitters and wiring for the monitors.  H102 is currently without any AV technology/media equipment.  This would complete the H building upgrade with respect to media technology.</t>
  </si>
  <si>
    <t>SP20-024</t>
  </si>
  <si>
    <t>Additional PC Laptop Cart is needed for Lab Delivery</t>
  </si>
  <si>
    <t>Current Life Science labs need one additional computer cart to meet current lab demands.</t>
  </si>
  <si>
    <t>SP20-026</t>
  </si>
  <si>
    <t>110-PVMAINCA-801715_INSTRCTO</t>
  </si>
  <si>
    <t>Performing Arts</t>
  </si>
  <si>
    <t>Replacement for CPA Theater Projector</t>
  </si>
  <si>
    <t xml:space="preserve">Christie M Series 3D/Mapping Projector. This projector will replace the existing CPA theater projector which needs to be replaced. The new projector has additional capabilities of 3D mapping, splitting images, multi-image projection._x000D_
This project will reduce the costs of PVCC theater productions as we will need to purchase and build less scenic materials and substitute with hi-resolutions images._x000D_
This project would also support film festivals, music concerts, graduation ceremonies and facility rentals._x000D_
</t>
  </si>
  <si>
    <t>SP20-027</t>
  </si>
  <si>
    <t>Intelligent lighting fixtures to replace old lights</t>
  </si>
  <si>
    <t>This request is to purchase 8 new intelligent lighting fixtures for the CPA. These lighting fixtures would be movable, would have a fully array of colors, patterns, projection angles and will use less power then the existing standard theater lights._x000D_
_x000D_These lights would reduce the costs for all CPA events as they would eliminate the need to purchase gels, tape, frames, gobos, and reduce the hours of labor required to hang and focus lights for each separate event in the CPA._x000D_</t>
  </si>
  <si>
    <t>SP20-180</t>
  </si>
  <si>
    <t>Surface Pro computers and portable scanner</t>
  </si>
  <si>
    <t xml:space="preserve">Recruitment staff need surface Pro devices to work with prospective students out on the field.  They assist students with applying for college, show program/service information and may access SIS/CRM to check on students enrollment status.  These devices also have internet capabilities which are not always available at the high school.  A had hold scanner is also needed to capture student ID information necessary to verify students authentication and provide info to A&amp;R without violating FERPA policies. </t>
  </si>
  <si>
    <t>SP20-021</t>
  </si>
  <si>
    <t>Continuation/Creation of Hi-tech digital art lab/learning studio</t>
  </si>
  <si>
    <t>Expand and/or create a digital classroom for the visual art program to house courses using technology and mac computer, such as 2d/3d design, digital photography, computer animation, computer graphics, etc. Currently these courses are taught in 3 different locations, which do not help create a sense of community among students. $100K was funded in FY 18-19 and an additional $100k was proposed for FY19-20.</t>
  </si>
  <si>
    <t>Capital Occupational Technology</t>
  </si>
  <si>
    <t>3.3 - Needs for Optimal Service Levels</t>
  </si>
  <si>
    <t>SP20-028</t>
  </si>
  <si>
    <t>Complete Upgrade to Audio System in Studio Theater</t>
  </si>
  <si>
    <t>This request was funded at $25k for FY18-19, but the severity of the upgrade far surpassed the allocated amount of funds. The total amount for a complete audio system upgrade is $58,000._x000D_
_x000D_
The current state of the audio system in the studio theater is non-operational. We now use an laptop/iPod connected to a powered speaker for all classes, theater productions and concerts in the facility.</t>
  </si>
  <si>
    <t>SP20-152</t>
  </si>
  <si>
    <t>Audio Visual</t>
  </si>
  <si>
    <t>M-bldg. Classroom Audio/Video Renovation</t>
  </si>
  <si>
    <t>SP20-149</t>
  </si>
  <si>
    <t>Replace A/V Connections in all 11 Commons Classrooms</t>
  </si>
  <si>
    <t>Upgraded video connections provides the required stable connectivity._x000D_
_x000D_
If this upgrade is not approved, the classrooms will have unreliable A/V connections which will interrupt instruction.</t>
  </si>
  <si>
    <t>SP20-155</t>
  </si>
  <si>
    <t>250-PVMAINCA-802110_INSTRCTO</t>
  </si>
  <si>
    <t>Data Processing Lab</t>
  </si>
  <si>
    <t>Health Sciences iPad Cart</t>
  </si>
  <si>
    <t>The iPad cart in the Health Sciences building has reached an EOL (End-of-Life) status. This is used as part pf the Nursing program, and is recommended for replacement. This package contains 20 iPads and 1 cart for charging and securing the devices when not in use._x000D_
_x000D_20 x iPads_x000D_
1 x iPad cart</t>
  </si>
  <si>
    <t>SP20-023</t>
  </si>
  <si>
    <t>Dedicated Book Scanning Unit</t>
  </si>
  <si>
    <t xml:space="preserve">Benefits: Students will be able to quickly and easily scan books or documents to use for their papers or projects; removes the financial barriers students confront when needing to buy expensive textbooks. Instead of buying at $300 textbook, they can sign up for another class. This helps to reduce the disadvantage faced by students from low income homes._x000D_
College employees can also use the scanner for tasks such as Procard reconciliation. This solution is designed to be extremely simple to use and will require little to no training. Since people can scan to USB drives or email, printing will also be reduced._x000D_
_x000D_
</t>
  </si>
  <si>
    <t>4.3 Dream</t>
  </si>
  <si>
    <t>CAPITAL OCC. NON-TECHNOLOGY</t>
  </si>
  <si>
    <t>SP20-008</t>
  </si>
  <si>
    <t>Occupational Program - Emergency Equipment Needs EMT / Fire Science / AJS</t>
  </si>
  <si>
    <t>Emergency Equipment Needs EMT / Fire Science / AJS</t>
  </si>
  <si>
    <t>Capital Occupational - Non-Technology</t>
  </si>
  <si>
    <t>SP20-009</t>
  </si>
  <si>
    <t>Occupational Program - Emergency Equipment Needs Lab Science</t>
  </si>
  <si>
    <t>SP20-010</t>
  </si>
  <si>
    <t>Air Compressor and cascade station to fill SCBA's with breathable air for FSC classes</t>
  </si>
  <si>
    <t>Replacement of Fire Fighter SCBA (self-contained breathing apparatus) - Many of the FSC classes require the use of an SCBA (self-contained breathing apparatus)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t>
  </si>
  <si>
    <t>SP20-011</t>
  </si>
  <si>
    <t>Portacool misting system to prevent heat related emergencies to students /faculty while wearing protective fire clothing.</t>
  </si>
  <si>
    <t>Replacement of Fire Fighter Protective Clothing - Many of the FSC classes require the use of specialized fire fighting clothing, which includes helmet, turnout coat, turnout pants, suspenders &amp; boots)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t>
  </si>
  <si>
    <t>OCC. NON-TECHNOLOGY TOTAL:</t>
  </si>
  <si>
    <t>CAPITAL OCC. TECHNOLOGY</t>
  </si>
  <si>
    <t>SP20-012</t>
  </si>
  <si>
    <t>Microscope Camera for Microbiology Lab</t>
  </si>
  <si>
    <t xml:space="preserve">The Science Division would like to continue to modernize and enhance science classrooms and labs through innovative technology.  We would like to enhance visual aids in Microbiology. </t>
  </si>
  <si>
    <t>SP20-013</t>
  </si>
  <si>
    <t>Occupational Program Emergency Equipment Needs</t>
  </si>
  <si>
    <t>SP20-014</t>
  </si>
  <si>
    <t>mid-fidelity manikins</t>
  </si>
  <si>
    <t xml:space="preserve">Acquire new lab equipment, i.e. mid-fidelity manikins,  to be used to support faculty teaching skills in the lab to achieve effective student learning outcomes._x000D_
</t>
  </si>
  <si>
    <t>SP20-015</t>
  </si>
  <si>
    <t>Preston-Ortiz, Dina</t>
  </si>
  <si>
    <t>110-PVMAINCA-800700_INSTRCTO</t>
  </si>
  <si>
    <t>Business</t>
  </si>
  <si>
    <t xml:space="preserve">Virtualization Servers to Modernize IT Courses to align with industry standards </t>
  </si>
  <si>
    <t>?	Modernize IT Courses to align with industry standards  with 2 new servers (E146; E152)</t>
  </si>
  <si>
    <t>SP20-016</t>
  </si>
  <si>
    <t>EEC (K117) Video Display Upgrade</t>
  </si>
  <si>
    <t xml:space="preserve">Request Video Display Upgrade ass the current technology used is outdated for impact students and outside community members. </t>
  </si>
  <si>
    <t>SP20-017</t>
  </si>
  <si>
    <t>Telefunken CU29 Tube Condenser Microphone</t>
  </si>
  <si>
    <t xml:space="preserve">Within the field of audio there are specific manufacturers of equipment that has become standard issue within studios because of the specific sounds that equipment adds to the palate of the studio. We currently do not have anything with the Telefunken sound in our collection. Within the greater community of recording professionals familiarity with specific gear and the manufacturers of that gear is critical to a users standing in the field - giving our students access to this equipment is a key component of supporting their success._x000D_
_x000D_
Classes that will this purchase support: MUC111, MUC112, MUC122, MUC195, MUC196, MUC197, MUC198, MUC237, MUC295_x000D_
_x000D_
Degrees that will this purchase support: AAS/CCL Audio Production, AAS/CCL Music Business </t>
  </si>
  <si>
    <t>SP20-018</t>
  </si>
  <si>
    <t>Universal Audio LA-2A, compressor</t>
  </si>
  <si>
    <t xml:space="preserve">Arguably the most widely used compressor in the history of audio recording, the LA-2A is essential element of both contemporary and vintage recordings. Within the greater community of recording professionals familiarity with specific gear and the manufacturers of that gear is critical to a users standing in the field - giving our students access to this equipment is a key component of supporting their success._x000D_
Classes that will this purchase support: MUC111, MUC112, MUC122, MUC195, MUC196, MUC197, MUC198, MUC237, MUC295_x000D_
Degrees that will this purchase support: AAS/CCL Audio Production, AAS/CCL Music Business </t>
  </si>
  <si>
    <t>SP20-019</t>
  </si>
  <si>
    <t>Pearl EM1 malletSTATION Bundle, USB Mallet Instrument Controller</t>
  </si>
  <si>
    <t>SP20-020</t>
  </si>
  <si>
    <t>PreSonus Digital Audio Snake, Mixers and Accessories</t>
  </si>
  <si>
    <t>SP20-031</t>
  </si>
  <si>
    <t>Spectrometer for Astronomy Labs</t>
  </si>
  <si>
    <t>Allow students access to a spectrometer on the market that displays live video, making RSpec Explorer the best teaching tool for our Astronomy classroom and labs. Measure flame emission lines of materials. Determine the temperature of stars by their spectrum.</t>
  </si>
  <si>
    <t>Course Equipment or Software</t>
  </si>
  <si>
    <t>NEW - Let's table this request to either be absorbed operationally this year or course fees.</t>
  </si>
  <si>
    <t>CAPITAL OCCUPATIONAL TOTAL:</t>
  </si>
  <si>
    <t>GRAND TOTAL:</t>
  </si>
  <si>
    <t xml:space="preserve">FY20 20 BUDGET DEVELOPMENT and RECOMMENDATIONS - OCCUPATIONAL FUND </t>
  </si>
  <si>
    <t>FY20 COLLEGE BUDGET DEVELOPMENT - CAPITAL NON-TECHNOLOGY</t>
  </si>
  <si>
    <t xml:space="preserve">Div. Priority Number </t>
  </si>
  <si>
    <t>SP20-146</t>
  </si>
  <si>
    <t>Meek, Scott</t>
  </si>
  <si>
    <t>110-PVMAINCA-802075_OP/MNTPL</t>
  </si>
  <si>
    <t>New 12-Passenger Vehicle</t>
  </si>
  <si>
    <t>We would like to obtain one new 12 passenger vehicle for college employees and students to attend college related functions that replaced 16 years old vehicle.  Also, currently college restricts on local travel reimbursement to college employees so the number of the requests using college vehicles is increased. Without this request approved, we do not have enough vehicles to provide all requests to college employees. This is the last vehicle that needed to be replace in our three-year plan.</t>
  </si>
  <si>
    <t>Capital Non-Technology</t>
  </si>
  <si>
    <t>SP20-006</t>
  </si>
  <si>
    <t>Replacement Electric Kiln for Ceramics program</t>
  </si>
  <si>
    <t xml:space="preserve">Skutt KM1231-3PK Kiln_x000D_ - This new electric kiln will replace and older and out of date kiln. This new kiln will support all ceramics and sculpture classes as well as students pursuing the AAFA Degree in Art._x000D_
_x000D_The Skutt Production Kiln (PK) line was designed to handle the rigorous demands of high-volume ceramic manufacturers and high-fire artists. In production, time is money. PK kilns are designed to save you both. The major difference between our standard and PK kilns is power?the power to fire dense loads to highfire temperatures without the kiln slowing down. Our PK line offers a couple of primary benefits which can add up to a better bottom line:_x000D_
_x000D_1) Firing can be accelerated sufficiently for most firings to allow the_x000D_
user to turn the kiln in a twenty-four hour period, sometimes dou-_x000D_
bling volume produced._x000D_
_x000D_2) PK kilns have the power to reach temperature without slowing_x000D_ down on the high end. This exposes the elements to less of the_x000D_ damaging high heat atmosphere. This translates into longer element_x000D_ life. And because the kiln is not spending unnecessary time getting_x000D_ to temperature it is actually less expensive to fire._x000D_ The elements are specially balanced to improve life and maximize energy_x000D_ efficiency, and all PK kilns are equipped with industrial Mercury Relays_x000D_ and heavy gauge high temperature wire to handle this added power_x000D_. Finally, an electric kiln line designed specifically for volume production and fast turnaround of high mass loads. It has the power and industrial components to go straight to Cone 10 with a full load of tile or stoneware ? no slow struggling to reach the final temperature. The standard KilnMaster controller gives you the options of Cone Firing, or selecting your own 8-segment Ramp/Hold firing programs. The combination of direct wiring, heavy duty elements, connectors and relays, plus traditional Skutt stainless steel and firebrick construction results in a kiln that will last for years of constant use. Among the most powerful on the market today, the line was designed at the request of Skutt customers. </t>
  </si>
  <si>
    <t>SP20-005</t>
  </si>
  <si>
    <t xml:space="preserve">Musser 5.0 Concert Grand Soloist Rosewood Marimba </t>
  </si>
  <si>
    <t>SP20-003</t>
  </si>
  <si>
    <t>Replacement of Five Old (Obselete) Cybex Weight Machines</t>
  </si>
  <si>
    <t>SP20-145</t>
  </si>
  <si>
    <t>Cernetic, Jeanette</t>
  </si>
  <si>
    <t>230-PVMAINCA-801835_INST_SPP</t>
  </si>
  <si>
    <t>Business Office</t>
  </si>
  <si>
    <t>New Electric Golf Cart for Asset Control/Receiving</t>
  </si>
  <si>
    <t>The current electric golf cart is on loan from the Maintenance department. It is 19 years old and needs frequent maintenance. A new golf cart purchases for the Business Department would promote faster delivery of packages and promote asset control as it would allow the employee to move around the campus in a non borrowed cart. A new cart would also support the ability to move tagged and recorded assets as needed for district compliance.</t>
  </si>
  <si>
    <t>SP20-007</t>
  </si>
  <si>
    <t>New Scissors Lift</t>
  </si>
  <si>
    <t>This request is to purchase a new scissors lift. The college currently owns one, but it is in constant use and aging. Having a 2nd scissors lift will allow for the fine arts to install lighting and hanging good for productions on a more timely schedule. The new scissors lift would be shared between the college facilities department and the CPA and would be deployed for greater college needs when necessary.</t>
  </si>
  <si>
    <t>SP20-004</t>
  </si>
  <si>
    <t>Fitness Center Outdoor Expansion</t>
  </si>
  <si>
    <t xml:space="preserve">This request to to optimize our workout space provided to our students by expanding to use outdoor space for agility, sprint, and medicine ball training. The fenced in space will be approximately 50' x 10'  In addition this will provide space for providing adequate training space for our student athletes (when participating in our PED101PC courses) as well as for our Fit4Duty course designed for justice studies students requiring use of a 5 foot wall for practice for their required police academy physical fitness test.  The space will need to be fenced in and the flooring will require turf (similar to our track surface).  We will also need to provide a shade structure. The estimated cost provided by Bob Metivier is $47,000.  In addition we will purchase a squat rack that can be used in this space $5000.   This is a very inexpensive way to expand our workout space for our students that we serve.  If not funded, the types of dynamic exercises described above will have to be done in the small space that we currently have for that type of activity.  We have outgrown it, and therefore this becomes a safety concern (too many students working out in a small area).  </t>
  </si>
  <si>
    <t>FY20  COLLEGE BUDGET DEVELOPMENT - FACILITIES &amp; FURNITURE REQUESTS</t>
  </si>
  <si>
    <t>SP20-032</t>
  </si>
  <si>
    <t>Furniture for Classroom M 204</t>
  </si>
  <si>
    <t>4 round tables at $450 each and 32 chairs at $200 each = $8,200._x000D_
_x000D_Replace current outdated furniture (20 year +).</t>
  </si>
  <si>
    <t xml:space="preserve">Facilities and Furniture </t>
  </si>
  <si>
    <t>SP20-001</t>
  </si>
  <si>
    <t>Re-carpet Library &amp; Staff workroom, offices &amp; study Rooms</t>
  </si>
  <si>
    <t>Benefit: _x000D_
a) Appearance, a clean, appealing carpet improves the library's image as a place where students want to be to study and collaborate. _x000D_
   _x000D_
b)Insulation: Carpet can help save energy as it is an important contributor to the insulation of the indoor environment. _x000D_
_x000D_
c) Acoustics: Carpets absorb sound and carpets with padding further enhance this ability - quiet is of obvious importance to the library._x000D_
_x000D_
_x000D_
d) Health: Carpet traps allergens, dust, and other contaminants, holding them until they can be properly removed. As our carpet is 15 years old, it has 15 years of allergens trapped inside it._x000D_
_x000D_
Consequences: Continued neglect of this carpet will result in a devaluation of the space and poor air quality.</t>
  </si>
  <si>
    <t>SP20-002</t>
  </si>
  <si>
    <t>Redesign Library Lighting System</t>
  </si>
  <si>
    <t xml:space="preserve">Benefits: a) Energy savings as a result of switching to LED lights - longer lifespan, contributes to our sustainability initiatives._x000D_
b) Improved student and worker productivity due to better lighting - students will stay and linger longer in a space with good lighting for their work. Decreased anxiety, reduced eye strain. An office lighting upgrade can increase employee productivity by providing greater visual comfort and reducing fatigue, increasing work accuracy by reducing errors and rework, and possibly reducing absenteeism due to headaches and other related maladies_x000D_
c) Good lighting enhances the mood and desirability of spaces. It contributes greatly to people's sense of well-being.  Better lighting will increase customer traffic and the amount of time a customer spends here, which is accomplished by judiciously adding accent lighting, changing light sources to improve the color rendering of our displayed artwork. In short, it makes the space more inviting and interesting. _x000D_
_x000D_Consequences: continued neglect of the library despite its centrality to student learning. This is a student gathering space with poor lighting, outdated furniture, old dusty carpets. It sends the message to students that we don't care about their out of class learning._x000D_
_x000D_
</t>
  </si>
  <si>
    <t>4.2 Dream</t>
  </si>
  <si>
    <t>SP20-033</t>
  </si>
  <si>
    <t>Update Classroom &amp; Laboratory Furnishings for L101, L102, LS109</t>
  </si>
  <si>
    <t>Updating classroom and laboratory furnishings for L101, L102, and LS109 would enhance the physical learning environment for EMT and Paramedic educational delivery._x000D_
_x000D_
The consequence for not updating classroom and laboratory furnishings is compromise to the learning environments for students.</t>
  </si>
  <si>
    <t>SP20-034</t>
  </si>
  <si>
    <t>Physics Lab Stool Replacement</t>
  </si>
  <si>
    <t>Replacement of the lab stools in the Physics lab is necessary, as the current stools are worn, frequently break, and are due for an upgrade to meet the standards of the rest of the Science Division labs.</t>
  </si>
  <si>
    <t>SP20-035</t>
  </si>
  <si>
    <t>LS Building Hallway Seating</t>
  </si>
  <si>
    <t>Add additional seating in the LS building for student use between classes. The current seating is used frequently, but is not sufficient to meet the number of students in the LS building. Student space use is consistent with other areas of campus, and provides an overall enhancement to the student experience.</t>
  </si>
  <si>
    <t>SP20-036</t>
  </si>
  <si>
    <t>J Building Restoration</t>
  </si>
  <si>
    <t xml:space="preserve"> J building (classrooms, offices, hallway common areas) carpeting; 32-student tables for each room; 32-chair for each room, painting classrooms, hallways, J building offices and offices hallways</t>
  </si>
  <si>
    <t>SP20-037</t>
  </si>
  <si>
    <t xml:space="preserve">Administrative Assistant Front Desk Area Remodel </t>
  </si>
  <si>
    <t>Update Administrative Assistant desk area to match A building. The area is broken down, drawers don't work...this area has never been updated since it was built in the 1980s.</t>
  </si>
  <si>
    <t>SP20-038</t>
  </si>
  <si>
    <t>J-Building Hallway Student Benches</t>
  </si>
  <si>
    <t>Outside hallway benches for students. We had 4 at one time, but now we are down to 1. We don't know who took them...</t>
  </si>
  <si>
    <t>SP20-039</t>
  </si>
  <si>
    <t>J-Building Conference/Faculty Break Room</t>
  </si>
  <si>
    <t xml:space="preserve">Sink backs up and smells. We need a new drain and water system so we can actually drink the water. The area in general is dilapidated and great need of an overhaul. Counters have scratched employees and the cabinets smell of mildew.  </t>
  </si>
  <si>
    <t>SP20-040</t>
  </si>
  <si>
    <t>Faculty Office Furniture Replacement</t>
  </si>
  <si>
    <t xml:space="preserve">Need to replace and update furniture in Faculty Offices. Furniture is barely functional and is falling apart. </t>
  </si>
  <si>
    <t>SP20-041</t>
  </si>
  <si>
    <t>J-Building Bathrooms (2) Remodel</t>
  </si>
  <si>
    <t>Floor tiles are badly stained, counters are chipped and scratch employees. Sinks smell and backs-up frequently. Lighting is barely functional and flickers.</t>
  </si>
  <si>
    <t>SP20-042</t>
  </si>
  <si>
    <t>Shade Structure outside M-Art Studio</t>
  </si>
  <si>
    <t>Construct a shade structure above the rear (north facing) patio on the M-Art Studio. This request has been made 3 times previously. We would like a structure similar to the share structure outside of the honors program patio._x000D_
Art classes use the patio as an instructional and teaching space. A shade structure above the patio will assist with both the instruction and student work that takes place on the patio.</t>
  </si>
  <si>
    <t>SP20-043</t>
  </si>
  <si>
    <t>Upgrade/Repair CPA Theater Acoustics</t>
  </si>
  <si>
    <t>Improve audio acoustics in the center for the performing arts mainstage theater. This would help all events in the CPA by cutting down reverb and ambient noise. Would need to hire an acoustician to help with the design/project. _x000D_
_x000D_
To achieve better acoustics, the CPA theater needs to have several new sets of acoustical drapes hung in the main audience chamber. To determine the best location and thickness of the drapes, an acoustician or av consultant should be hired.</t>
  </si>
  <si>
    <t>SP20-044</t>
  </si>
  <si>
    <t>Upgrade CPA Outdoor Performance Space</t>
  </si>
  <si>
    <t xml:space="preserve">Upgrade CPA outdoor stage patio (expand concrete stage area) and install additional power outlets and permanent lighting trusses to support outdoor concert series, and other outdoor uses of the space. _x000D_
</t>
  </si>
  <si>
    <t>SP20-045</t>
  </si>
  <si>
    <t>Remodel of CPA120 Computer Lab</t>
  </si>
  <si>
    <t>To expand the square footage in CPA120 electronic music lab. The idea is to move the West wall out 10-12 additional feet, which will allow for 2-3 additional student workstations (currently capped at 15) and will also add space for more hands-on projects with analog synthesizers and a rehearsal space for the multimedia ensemble. In additional to the additional square footage, additional power outlets would need to be installed.</t>
  </si>
  <si>
    <t>SP20-046</t>
  </si>
  <si>
    <t>Expand/Remodel CPA 115 Music Rehearsal Room</t>
  </si>
  <si>
    <t>To expand the square footage in CPA115 music rehearsal room. The idea is to move the West wall out 15 additional feet, which will allow us to move the recording booth control room to the west side of the room. In addition, the additional square footage will allow for the creation of isolation room for additional recording projects, student practice time and rehearsals.</t>
  </si>
  <si>
    <t>SP20-047</t>
  </si>
  <si>
    <t>Continuation of Lighting system repair in Studio Theater</t>
  </si>
  <si>
    <t>This request is phase 2 of complete a lighting system upgrade in the studio theater. This request involves installing new lighting trusses that would connect to the existing ceiling structure, which would allow for betting positioning of lighting instruments for classes, theater productions, and concert. In addition, these trusses would be 8-10 feet lower than the existing lighting trusses, which would be safer to facilities and CPA technical crew to use the scissors lift to adjust the lights.</t>
  </si>
  <si>
    <t>SP20-048</t>
  </si>
  <si>
    <t>Replace CPA stage floor</t>
  </si>
  <si>
    <t>Remove and replace the masonite flooring on the CPA stage. The stage is 13 years old and is showing signs of disrepair.</t>
  </si>
  <si>
    <t>SP20-049</t>
  </si>
  <si>
    <t>Remodel/Extend CPA Prop Room Storage</t>
  </si>
  <si>
    <t>SP20-160</t>
  </si>
  <si>
    <t>Replace chairs in Commons Classrooms E152 &amp; E154</t>
  </si>
  <si>
    <t xml:space="preserve">The chairs in the Commons were purchased in 1999 and are wearing out._x000D_
_x000D_
Replacing two classrooms per year will allow the Commons to redistribute/replace broken chairs in other classrooms and the Open Lab in the Commons._x000D_
_x000D_
If chairs continue to wear out, students will not have </t>
  </si>
  <si>
    <t>SP20-181</t>
  </si>
  <si>
    <t>Recruitment Office- Furniture/Storage</t>
  </si>
  <si>
    <t>E Building</t>
  </si>
  <si>
    <t>E Bldg</t>
  </si>
  <si>
    <t>E Bldg (High)</t>
  </si>
  <si>
    <t>Med.</t>
  </si>
  <si>
    <t>Operational (High)</t>
  </si>
  <si>
    <t>E blg (High)</t>
  </si>
  <si>
    <t>Dev Ed. Reform (High)</t>
  </si>
  <si>
    <t>LM:LM: Should have been in Fund 1 section. Currently we have this in OYO funds FY19</t>
  </si>
  <si>
    <t xml:space="preserve">Operational </t>
  </si>
  <si>
    <t xml:space="preserve">E Bldg </t>
  </si>
  <si>
    <t>Operational</t>
  </si>
  <si>
    <t>A;ready in OSO</t>
  </si>
  <si>
    <t>Growth and HS</t>
  </si>
  <si>
    <t>Marketing should be able to absorb this cost. -LM</t>
  </si>
  <si>
    <t>Festival of Tales</t>
  </si>
  <si>
    <t>Festival of Tales - Instituion wide Fall and Spring events</t>
  </si>
  <si>
    <t>2.2 Expand and Enchance Partnerships</t>
  </si>
  <si>
    <t>Summer Camps</t>
  </si>
  <si>
    <t>AA Summer Camps</t>
  </si>
  <si>
    <t>FY20 COLLEGE BUDGET DEVELOPMENT - PROP301</t>
  </si>
  <si>
    <t>SP20-127</t>
  </si>
  <si>
    <t>Education</t>
  </si>
  <si>
    <t>Fund the Teacher Development Center (TDC) Coordinator Position</t>
  </si>
  <si>
    <t>This position is integral to the success of our education program. Not filling this position creates a void and hinders the EDU program in providing support for programs and activities initiated and/or supported by EDU and TDC. In a worst-case scenario, it could damage long-term growth of these programs as well as overtask our current employee.</t>
  </si>
  <si>
    <t>SP20-128</t>
  </si>
  <si>
    <t>Early Childhood Education Coordinator</t>
  </si>
  <si>
    <t>This position is integral to the continued success of our early childhood education program. Not filling this position jeopardizes our accreditation compliance, marketing strategies, and partnerships with schools districts and supporting agencies. In a worst-case scenario, it would damage our program and overtask our current employees.</t>
  </si>
  <si>
    <t>National Association for the Education of Young Children (NAEYC) annual accreditation fee of $1,683.00. The ECH program's accreditation ensures the program's NAEYC compliance. The Associate of Applied Science in Early Childhood Education degree at Paradise Valley Community College is accredited and serves as evidence of our program?s high-quality preparation of early childhood professionals and signifies a commitment to continuous improvement. The accreditation also ensures that the AAS in ECE course content is aligned with the National Association for the Education of Young Children's Professional Preparation Standards.</t>
  </si>
  <si>
    <t>SP20-130</t>
  </si>
  <si>
    <t xml:space="preserve">Stipends for ECE Field Site Agency Mentors/Educators </t>
  </si>
  <si>
    <t>Field experiences are critical for our students in Early Childhood Education. Field experiences at exceptional sites bring learning alive and provide students with opportunities to build lasting partnerships and network with other quality educators. In an effort to improve these field experiences for our students we request funds to cover a stipend for the cooperating agency mentor/educator ($500 a semester for 10 educators for two semesters).</t>
  </si>
  <si>
    <t>SP20-131</t>
  </si>
  <si>
    <t>OYO Nutrition &amp; Food Science Residential Faculty Lab Coordinator</t>
  </si>
  <si>
    <t>Note that there are additional Health and Exercise Science Departmental Goals and Strategies that relate to this request, but SPOL only allows one strategy to be selected.  Please see #1460 under Allied Health and others as needed._x000D_
_x000D_An OYO Residential Faculty Lab Coordinator position is requested to coordinate Nutrition and Food Science academic and community activities in the new Integrated Health Science Center's Nutrition and Food Science Lab, as well as in the Nutrition Assessment Labs at the Union Hills and Black Mtn. Campuses.  Activities include, but are not limited to, the following tasks and responsibilities (note that the tasks/responsibilities are not listed in any priority order or on the basis of the time allotted to each one):_x000D_
_x000D_1.  Lab Coordination/Instruction for three Nutrition Lab Classrooms; the new Integrated Nutrition and Food Science Lab (Integrated Health Science Center), and the two Nutrition Assessment Labs (one at the Union Hills Campus, Q151, and one at the Black Mtn. (Orion Hall Rm 109)._x000D_
Lab Coordination includes inventory, ordering, and organization/stocking of equipment and supplies, supervising labs for proper safety, cleaning and sanitation, Lab Assistant staffing (includes hiring, training, scheduling &amp; supervision).  Assist FON Program Director with planning, monitoring and requesting budget items._x000D_
2.  Serve as preceptor for Dietetic Technology students as they complete counseling, projects and group presentation competencies as part of their three of their practicum courses; Community Nutrition, MNT &amp; Food Service Mgmt.  _x000D_
3.  Assist HES faculty with coordination of community and Integrated Pre-Professional Educational (IPPE) assignments and activities (Food and Nutrition (FON) integrated with NUR, HES, EMT, FSC, Public Health, Sustainability, etc.)._x000D_
4.  Instruction in the Labs mentioned in #1 both for academic courses and community education, estimated 9 Load hours. Courses that can be taught by faculty coordinator include FON142AB Science of Food, FON135 Sustainable Cooking, FON104 Certification in Food Service, Safety and Sanitation, FON241LL Principles of Human Nutrition Lab, FON207 Intro to Nutrition Services Mgmt, FON244AA/AB Practicum I: Food Service Mgmt, FON247 Weight Management Science.  _x000D_
5. Assist HES faculty with the coordination of community offering in Health, Wellness and Nutrition (i.e. Nutrition Education classes/workshops, cooking demonstrations, scheduling guest speakers/community members to speak and present, etc)._x000D_
6.  Assist FON Residential Faculty (RD, CDE) with planning, development and implementation of a comprehensive Integrated Diabetic Education Program for the Community, as well as for current students, faculty &amp; staff._x000D_
7.  Assist FON Residential Faculty (RD, CDE) with planning, development and implementation of a comprehensive Integrated Cardiac Care Education Program for the Community, as well as for current students, faculty &amp; staff._x000D_
8.  Assist Dietetic Technology Program Director with expansion of partnerships with local high school Nutrition and Culinary Program for transfer credits and credit by evaluation in Food and Nutrition (e.g. FON142AB, FON100).  Also work with local high schools to help expand sustainability initiatives, such as Community Gardens._x000D_
9.  Implement new course offerings as part of the Sustainability Certificate Programs (e.g. FON135 Sustainable Cooking), and as part of MCCCD and other local Culinary Programs._x000D_</t>
  </si>
  <si>
    <t>SP20-132</t>
  </si>
  <si>
    <t>20 PT EMT/Paramedic Skills Lab Instructors</t>
  </si>
  <si>
    <t xml:space="preserve">The EMT and Paramedic programs require student-instructor ratios established by the Arizona Department of Health Sciences, American Heart Association, National Registry of EMTs, and CAAHEP (national Paramedic program accreditation).  _x000D_
_x000D_The consequences of not funding this request may pose the risk that EMT/Paramedic programs will not be able to comply with the state and national instructional standards cited above, and the programs would not be able to provide highly-trained and educated EMS providers to fill immediate EMT and Paramedic positions in the community and state._x000D_
</t>
  </si>
  <si>
    <t>SP20-133</t>
  </si>
  <si>
    <t>Professional Services for EMT and Paramedic Programs</t>
  </si>
  <si>
    <t xml:space="preserve">Cadaver labs and other special services provides an opportunity for Paramedic students to experience human anatomy with a live model and perform advanced level invasive skills._x000D_
_x000D_
Failure to provide funding for this service jeopardizes human anatomy training and Paramedic students do not receive credit for advanced invasive skills required for state and national certification._x000D_
</t>
  </si>
  <si>
    <t>SP20-134</t>
  </si>
  <si>
    <t>Laboratory equipment</t>
  </si>
  <si>
    <t xml:space="preserve">New equipment will include high fidelity manikins for simulations, replacement of EKG monitor/defibrillator and other simulation equipment relative to upgrading EMT and Paramedic Laboratories. _x000D_
_x000D_The consequence of not upgrading this equipment through this request will result in failure to provide up to date and cutting edge educational delivery in the EMT and Paramedic Programs. </t>
  </si>
  <si>
    <t>SP20-135</t>
  </si>
  <si>
    <t>Prop 301 Request Lab Coordinator</t>
  </si>
  <si>
    <t>Prop 301 request for OYO lab coordinator until FT position is approved</t>
  </si>
  <si>
    <t>SP20-136</t>
  </si>
  <si>
    <t>vSim - institutional permit</t>
  </si>
  <si>
    <t>Purchase multiple learning modules under institutional permit that will allow web based access for multiple students - download access using ipads in the classroom and HS lab</t>
  </si>
  <si>
    <t>SP20-137</t>
  </si>
  <si>
    <t>Part-time Admin Support (HTS &amp; EEC)</t>
  </si>
  <si>
    <t>This is part-time wages to support the EEC and HTS Occupation program.</t>
  </si>
  <si>
    <t>SP20-138</t>
  </si>
  <si>
    <t>Schmidt, Tom</t>
  </si>
  <si>
    <t>Administration Of Justice</t>
  </si>
  <si>
    <t>Full-time Residential Faculty Member</t>
  </si>
  <si>
    <t>Full-time faculty salary plus benefits</t>
  </si>
  <si>
    <t>Continue funding currently staffed OYO PSA grade 10 Admin Support position</t>
  </si>
  <si>
    <t>Operational- Personnel</t>
  </si>
  <si>
    <t>Petterson, Nelly</t>
  </si>
  <si>
    <t>SimMan Warranty Maintenance &amp; Repair</t>
  </si>
  <si>
    <t>Annual warranty fee for Sim Mannequins - Maintenance adn repair</t>
  </si>
  <si>
    <t>IPH</t>
  </si>
  <si>
    <t>Integrated Public Health</t>
  </si>
  <si>
    <t xml:space="preserve">Support IPH Implementation </t>
  </si>
  <si>
    <t>2.2 Expand and Enchance Partnerships; 2.3 Align Occupational Programs</t>
  </si>
  <si>
    <t>Strategic Plan AA Prop 301</t>
  </si>
  <si>
    <t>Support for AA program development and needs for Occ programs</t>
  </si>
  <si>
    <t xml:space="preserve">Page # </t>
  </si>
  <si>
    <t xml:space="preserve">Academic Affairs </t>
  </si>
  <si>
    <t>2-14</t>
  </si>
  <si>
    <t>15-18</t>
  </si>
  <si>
    <t>21-14</t>
  </si>
  <si>
    <t>25-27</t>
  </si>
  <si>
    <t>28-31</t>
  </si>
  <si>
    <t>32-34</t>
  </si>
  <si>
    <t>36-40</t>
  </si>
  <si>
    <t>FY2019-2020</t>
  </si>
  <si>
    <t>FINANCIAL BUDGET COMMITTEE</t>
  </si>
  <si>
    <t>(FBC) MEMBERSHIP</t>
  </si>
  <si>
    <t>Herman Gonzalez</t>
  </si>
  <si>
    <t>Doug Berry</t>
  </si>
  <si>
    <t>Kathaerine Johnson</t>
  </si>
  <si>
    <t>Shoshannah Landis</t>
  </si>
  <si>
    <t>Keith Kelly</t>
  </si>
  <si>
    <t>Loretta Mondragon</t>
  </si>
  <si>
    <t>John Snelling</t>
  </si>
  <si>
    <t>Michelle Carter</t>
  </si>
  <si>
    <t>Huu Hoang</t>
  </si>
  <si>
    <t xml:space="preserve">Corey Weidner </t>
  </si>
  <si>
    <t xml:space="preserve">Alexis Peterson </t>
  </si>
  <si>
    <t>Jeanette Cernetic</t>
  </si>
  <si>
    <t>Eric  Leshinskie</t>
  </si>
  <si>
    <t>Lori Lindseth</t>
  </si>
  <si>
    <t>Scott Massey</t>
  </si>
  <si>
    <t>Scott Meek</t>
  </si>
  <si>
    <t>Brett Reed</t>
  </si>
  <si>
    <t>Anne Suzuki</t>
  </si>
  <si>
    <t>Kim Dean</t>
  </si>
  <si>
    <t>Dale Heuser</t>
  </si>
  <si>
    <t>Lili Kang</t>
  </si>
  <si>
    <t>Jenny Weitz</t>
  </si>
  <si>
    <t>FY2019-20 COLLEGE BUDGET DEVELOPMENT RECOMMENDATIONS</t>
  </si>
  <si>
    <t>SP20-992</t>
  </si>
  <si>
    <t>SP20-993</t>
  </si>
  <si>
    <t>SP20-994</t>
  </si>
  <si>
    <t>FY16 OYO Final Funding</t>
  </si>
  <si>
    <t>No of Reqs</t>
  </si>
  <si>
    <t>This request is for two digital snake boxes, 8 personal monitor mixers, cables, adapters, and other accessories to complete the Digital Live Mixing Station that was purchased in 2017-2018. The equipment we are currently using in our digital audio system is no out of date and in no longer compliant with our new digital mixing console._x000D_
_x000D_
These items will complete the digital audio system used in the CPA for both indoor and outdoor concerts as well as in student rehearsal and events. _x000D_
_x000D_Classes that will use this equipment are MUC 197, MUC 198, MUC195, MUC 196, and MUC295_x000D_
_x000D_Degrees that will support this purchase: AAS/CCL in Audio Production Technology and Music Business (Production specialization)._x000D_</t>
  </si>
  <si>
    <t>Increasingly mallet controllers are used so percussionists can access the world of electronic sounds usually available only to keyboard players. Mallet controllers are also used extensively in live theater performance, due to their size and the instrumental resources required by musical performers. We currently do not have an instrument of this type at PVCC._x000D_
_x000D_Classes that will this purchase support: MTC191, MTC192, MTC291, MUP101CI, MUP102CI, MUP151CI, MUP152CI, MUP201CI, MUP202CI, MUP251CI, MUP252CI, MUP158, MUP161, MUP163, MUP181, MUP190 _x000D_
_x000D_Degrees that will this purchase support: Music AAFA, AAS/CCL Music Business (Performance Emphasis)</t>
  </si>
  <si>
    <t>Musser 5.0 Concert Grand Soloist Rosewood Marimba and accessories (cover/mallets/cleaning supplies)._x000D_
_x000D_Contemporary percussionists for study and concert situations need a 5.0 Octave Marimba to play a majority of the solo and ensemble literature written in the last 20 years. Our current model is an economy marimba suitable for practice only and without the extended range to play the 5.0 Octave material. All of our feeder high schools have at least one of these instruments, any serious percussion student is going to expect access to this type of instrument as part of their college experience._x000D_
_x000D_Classes that will this purchase support: MUP101CI, MUP102CI, MUP151CI, MUP152CI, MUP201CI, MUP202CI, MUP251CI, MUP252CI, MUP158, MUP161, MUP163, MUP181, MUP190 . _x000D_Degrees will this purchase support: Music AAFA, AAS/CCL Music Business (Performance Emphasis)_x000D_</t>
  </si>
  <si>
    <t>We have 5 machines that are over 25 years old in need of replacement.  The older equipment can no longer be repaired in timely matter due to the age of the equipment and the ability to find replacement parts.  The purchase will include:_x000D_
1) Cybex Glute machine_x000D_; 2). Cybex Seated Leg Curl;  3). Cybex Leg Extension; 4). Cybex Row; and 5). Pulldown</t>
  </si>
  <si>
    <t xml:space="preserve">The Recruitment Office needs to update its front office area to be more student/family friendly and have a working area where prospective students can use to apply for college, file for Financial Aid, make a payment plan etc.  They also need a seating area were they can wait as they go on a campus tour._x000D_
_x000D_ The back office area has never been conditioned with office furniture except for pieces borrowed from other areas who have moved or no longer need.  Recruitment needs an area to sit with prospective students and parents to discuss general information and sometimes sensitive issues.  This area is also a storage area and we would like to hide the boxes from the general view of the families we work with.   _x000D_
 </t>
  </si>
  <si>
    <t>3-22</t>
  </si>
  <si>
    <t>23-28</t>
  </si>
  <si>
    <t>31`-35</t>
  </si>
  <si>
    <t>36-38</t>
  </si>
  <si>
    <t>39-44</t>
  </si>
  <si>
    <t>45-48</t>
  </si>
  <si>
    <t>50-54</t>
  </si>
  <si>
    <t>FY18 Plan -4.0% with -191 FTSE's</t>
  </si>
  <si>
    <t xml:space="preserve">FY19 Plan -4.0% with -183 FTSE's </t>
  </si>
  <si>
    <t>FY2018-19</t>
  </si>
  <si>
    <t xml:space="preserve">Base Budget Reduction </t>
  </si>
  <si>
    <t>-6%</t>
  </si>
  <si>
    <t xml:space="preserve">2 Opening Faculty Positions </t>
  </si>
  <si>
    <t>-4%</t>
  </si>
  <si>
    <t xml:space="preserve">If -12%, 50% PT Wage &amp; vacant positions </t>
  </si>
  <si>
    <t xml:space="preserve">Replace 59 instructor stations and 41 employee desktops </t>
  </si>
  <si>
    <t>Replace 17 empployee laptops. Deny 54 academic, mobel cart )H2 (30) - data usage was received, can go another year, and mobile cart H104 (24) - lab is being created</t>
  </si>
  <si>
    <t>Create digital classroom(s) for visual art program and synergy with engineering, digital photography, gaming, health informatics, 2d/3d design, computer animation, etc ($25K capital technology and $75K Occ Ed</t>
  </si>
  <si>
    <t xml:space="preserve">Demo exsting equipment, cabling and replace cabling, addition of A//V switches., addition of touch panel for room control, programming, replace doc cameras, addition of secondary A/V interface for laptops, addition of audio only mode automate project screen control, addition of wireless display connectivity. </t>
  </si>
  <si>
    <t>Current system has reached end of life and is not supported, and this system of equipment and software provides all wireless services at the college, including mobile labs, *Admin priority* building looking like might be above $200K for new wireless system.</t>
  </si>
  <si>
    <t>Services such as logging network traffic, storage for marketing projects, active directory authentication, and more, are all impacted by these enterprise severs that are not virtualized. These are within or beyon their obsolescence cycle.</t>
  </si>
  <si>
    <t>Contigency as equipment ages.  Requests will be brought to TCT</t>
  </si>
  <si>
    <t xml:space="preserve">2 flat screen TV's and mounts, splitters and wiring because currently H102 is without an A/V technology or media equipment. This comletes the H building update. </t>
  </si>
  <si>
    <t>New projector has additional capabilities of 3D mapping, splitting images, multi image projection which reduces the costs of PVCC Theater productions as well as decreases the need to buy and build scenic materials, substituting them with hi-resolution images. Also supports film festivals, concerts, graduation ceremonies and facility rentals.</t>
  </si>
  <si>
    <t>CTC and FBC Notes</t>
  </si>
  <si>
    <t>CTC and FBC
Recomd'ed Amount</t>
  </si>
  <si>
    <t>College President's 
Approval</t>
  </si>
  <si>
    <t xml:space="preserve">M-bldg. complex is the largest instructional facility located at PVCC. As the building is now turning 20, major investments in A/V (Audio/Video) need to be made in order to update these classrooms to be on parity with most of the campuses recent instructional facility builds/remodel standards. The M-West has an aged A/V infrastructure, and contains no A/V automation for instructional operation. The cabling is out of date compared to current digital standards, and would require a complete replacement. This makes it difficult to use current services, which impacts instruction, and in some cases provides a sub-optimal instructional experience. This request would create a one-touch solution to operation of every room of M-West._x000D_
_x000D_This request builds on the  momentum of this past years M-bldg. refresh cycle, in which IT has been working to build a regionally-based obsolescence plan for the entire facility. During the last fiscal cycle, IT replaced the lectern, data cabling, and projectors, which laid the groundwork for the second phase of A/V products and infrastructure equipment/programming. The following items need to be completed/changed in order to complete this multi-year project:_x000D_
_x000D_- Demo existing equipment/cabling, Replace cabling (migrate to floor boxes)_x000D_, Addition of A/V switcher, Addition of amplifie  Replace ceiling speakers_x000D_, Addition of touch panel for room control, Programming_x000D_, Replace document camera_x000D_, Addition of secondary A/V interface for laptops , Addition of audio only mode_x000D_, Automate project screen control_x000D_, Addition of wireless display connectivity_x000D_
</t>
  </si>
  <si>
    <t>Div. and FBC 
Recomd'ed Amount</t>
  </si>
  <si>
    <t>College President's Approval</t>
  </si>
  <si>
    <t>Div. and FBC
Recomd'ed Amount</t>
  </si>
  <si>
    <t>College President's Approvals</t>
  </si>
  <si>
    <t>Can be requested from College Commitment &amp; Obligations</t>
  </si>
  <si>
    <t xml:space="preserve">Unit Goal Description: Provide much needed support to the Division of Student Affairs that currently has only one Administrative support for the VPSA, Deans and all other departments._x000D_
This position will report to the VPSA/Deans Administrative Assistant and will have responsibilities to include: calendar support for Deans, Travel and FSA support for SA departments, catering and room reservations, and other general administrative support.  Currently the one Administrative Assistant priorities must be to support the VPSA especially with Title IX responsibilities, and secondly to support the Dean of Student Affairs with Code of Conduct, Early Alert and Student Complaints.  The Associate Dean and all other areas of Student Affairs do not have any administrative support, unless it is part of another staff person's responsibilities in addition to current role(s).  Without this additional administrative support, MAT level and other classified staff will continue to work outside of their roles to get administrative duties met creating delayed work at the other levels._x000D_
</t>
  </si>
  <si>
    <t>Marketing assists in producing marketing materials to promote PVCC and the many recruitment events hosted by the Recruitment Office.  A mailing company prints and mails to prospect students the advertisements promoting our events.  This  reduces the many hours of work staff would have to work to print labels, put on postcards sort and them mail.</t>
  </si>
  <si>
    <t xml:space="preserve">?	In order to reach a larger service area and be able to engage prospective students throughout the enrollment funnel we need a Full-time to assist with such work.  _x000D_
?	We also need dedicated staff to check prospective student data on SIS and then follow- up with a phone call.  Many students come to the Recruitment Office to be assisted further as they finalized their enrollment process. It has been hard to keep a Part-time or OYO recruiter due to other opportunities with benefits elsewhere._x000D_
</t>
  </si>
  <si>
    <t>The administrative person's position was turned into a full-time recruiter.  There is a need for a front office person to greet people and assist with office coordination while recruiters are out on recruitment visits. This person will also assist with fiscal duties for the recruitment office, career services and student life.</t>
  </si>
  <si>
    <t>Career Services cannot function without classified staff support in order to maintain or increase current level of services. As we shift toward guided pathways and the we increase the number of first generation  college students,  students will desire internships, career work experiences, and job shadowing opportunities. Career Services will need to be actively developing relationships with employers and faculty to increase these opportunities.</t>
  </si>
  <si>
    <t xml:space="preserve">With the Contact Center, the outcomes would include the following: • Incorporation of Switchboard for PVCC. o Current state resides with the Recruitment department. The staff member who oversaw the switchboard retired and the position has not yet been filled and may be repurposed. Due to the intake of calls, the recruitment team is pulled away from their other job functions which has a direct impact to enrollment of new students. Current abandonment rate is high at 50% which is similar to the District abandonment rate. o Future state will allow us to move the switchboard to the contact center and allow recruitment to focus more on recruitment on/off campus. This will also allow the contact center to assist with lowering the abandonment rate. • Adding payment service options over the phone for PVCC. o Current state is students can make payments online through their Student Center or in person to the Welcome Center. o Future state will allow these same payment functions as well as the option to speak to a live agent and take the payment over the phone. This will help lessen the Student Services line in our Welcome Center and provide an alternative payment option to students. • Extending the point of service for our continuing students. o Current state is reactive verses being proactive with the phone calls coming in. Current tracking allows current staff to see how many calls came through while the campus was closed, but there is no staffing or team to provide follow up calls to assist these students. o Future state will allow more holistic services to take place and would mimic what is provided in the Welcome Center One-Stop. The contact center could track all the calls while the campus was closed and provide outreach to those students. The contact center could also run reports related to students who received error messages while enrolling online. </t>
  </si>
  <si>
    <t xml:space="preserve">PVCC Welcome Center/One Stop is requesting to extend or make permanent the OYO Coordinator of Student Services (formally a Grade 10 and now 111) , for the 19-20 FY. The position was originally created to provide coordination to the Welcome Center/One Stop point of service for PVCC students and since has been incorporated into the newly approved PVCC Contact Center. Unit Goal Objective(s): The position, has allowed for less "front counter" service time required by the offices of A&amp;R, Advisement, and Financial Aid.  Reducing the shifts from four shifts a week to more on an as needed basis.  With this, the departments have been able to focus on processing time for awarding, data entry, and service to the internal community in a more timely and effective manner. </t>
  </si>
  <si>
    <t>Div. and FBC
Recomd'ed  Amount</t>
  </si>
  <si>
    <t>Committee and FBC
Recomd'ed Amount</t>
  </si>
  <si>
    <t>$25K from IT</t>
  </si>
  <si>
    <t>FBC Recomd'ed Amount</t>
  </si>
  <si>
    <t>Committee and FBC  Recomd'ed Amount</t>
  </si>
  <si>
    <t xml:space="preserve">This request is to expand the current CPA prop storage room (located on the East side of the building, with the horizontal aluminum siding) north to meet the end of the of the brick wall (approx. 15 feet) and then to wrap the storage room around towards the west side of the building for another 15 feet._x000D_
_x000D_This room was built as an addition to the CPA main structure, so this remodel would be to add on to that structure and would not  require too much modifications to the East/North Red brick walls of the CPA._x000D_
_x000D_
</t>
  </si>
  <si>
    <t>Non-Tech</t>
  </si>
  <si>
    <t>Occ-Ed</t>
  </si>
  <si>
    <t>Facility Project &amp; Furniture</t>
  </si>
  <si>
    <t xml:space="preserve">Planned Budget </t>
  </si>
  <si>
    <t xml:space="preserve">Notes </t>
  </si>
  <si>
    <t>Fiscal Year 2019-2020</t>
  </si>
  <si>
    <t>$1.1 million from Fund 710 and additional $255K from Fund 280</t>
  </si>
  <si>
    <t>Capital Fund</t>
  </si>
  <si>
    <t>- NAEY Annual Accreditation, Accred. Renew, HLC</t>
  </si>
  <si>
    <t xml:space="preserve">Fund Available after FY18 Enrollment </t>
  </si>
  <si>
    <t>Notes: Facilities and Furniture is year-round review/process.</t>
  </si>
  <si>
    <t xml:space="preserve">50% PT Wage &amp; 50% PT Instruct Evening   </t>
  </si>
  <si>
    <t>Tanisha Maxwell / Jana Schwartz</t>
  </si>
  <si>
    <t>No fees in FY20</t>
  </si>
  <si>
    <t>Recommend Fund 230</t>
  </si>
  <si>
    <t xml:space="preserve">Purchase promotional items to increase PVCC's image and visibility throughout the community (pens, pencils, bags, shirts and other promotional items). 
PV promotional products are powerful tool to attract prospective students to campus.  They catch the eye of potential students and leave lasting impression. 
The Recruitment Office is now the hub of most PVCC promotional items and with all campus department requests items for multiple events.   </t>
  </si>
  <si>
    <t>additional $38,088 covred with Fund 230</t>
  </si>
  <si>
    <t>This position is covered with Fund 1 Base Budget</t>
  </si>
  <si>
    <t>Covered by Salary Saving budget.</t>
  </si>
  <si>
    <t>The purpose of this goal is to move toward closing the leadership gaps in Student Affairs at PVCC.  A full-time permanent Associate Dean of Student Affairs is a necessary leadership position to effectively sustain the strategic, operational and supervisory functions of the college Registrar, Enrollment Services departments (Admissions, Records, and Registration, Advisement, Testing), Welcome Center, and the Contact Center._x000D_
It is recommended that this position eventually be permanently funded as a Dean of Student Affairs to fully operationalize the comprehensiveness of Enrollment Services areas (Registrar, Admissions, Records, and Registration, Advisement, Testing, Welcome Center, One-Stop Services, Student Ambassadors and Recruitment) as a suite of services within the division of Student Affairs.  Further, a two dean structure would effectively close the leadership gap within Student Affairs at PVCC.  This type of succession planning would improve retention, persistence, and completion student success outcomes through new and existing programs and services while continuing to bolster interdisciplinary relationships, strategic planning and operational implementation of programs, services, and initiatives in collaboration with Academic Affairs and Administrative Services.</t>
  </si>
  <si>
    <t xml:space="preserve">Currently, Athletics is able to fund 268 talent waivers at $325 each with operational dollars. Athletics would like to see this talent waiver amount be increased to $500 each so as to offer student athletes a better chance of supplementing their tuition costs. Also, this would be an equitable increase to scholarship offerings based on other programming on campus (i.e.: Honors)._x000D_ _x000D_Athletics consistently supplements its scholarship offerings by fundraising an average of $40,000 per year (last 3 yrs.).  These dollars are specifically earmarked for student athlete scholarships.  This budget allocation would increase annual operational scholarship dollars from the current $87,100 to $134,000.  _x000D__x000D_The recruiting landscape in AZ has changed and with it recruit/family expectations have as well.  Not being able to offer recruits substantial scholarship assistance (at least half) is a detriment to recruiting efforts.  As the pool of viable student-athletes shrinks (based on national collegiate trends) the expectation of financial support grows.  In addition, having only three of 10 program's head coaches full time employees, the demands of fundraising are far greater than the current personnel structure can support.  _x000D_If this increase is not funded, PVCC Athletics will continue to fall behind in its recruiting efforts compared to colleges with more scholarship funding.  Also, fundraising demands on head coaches will continue to increase.  With only three of 10 program's head coaches being full time employees, the demands of fundraising are far greater than the current personnel structure supports.  This make up takes valuable time away from coaches supporting student athletes to a greater degree as well as inhibits coach's ability to offer meaningful financial support to recruits and current student athletes.  _x000D_
</t>
  </si>
  <si>
    <t>Student Affairs - Welcome Center</t>
  </si>
  <si>
    <t>- (2) OYOs 109 Student Services Specialist</t>
  </si>
  <si>
    <t>- OYO 111 Coordinator of Student Services</t>
  </si>
  <si>
    <t>Sub- TOTAL:</t>
  </si>
  <si>
    <t xml:space="preserve">- Increase Scholarship Dollars for Student Athletics </t>
  </si>
  <si>
    <t>Fund 230 Budget Planning for FY20</t>
  </si>
  <si>
    <t>Academic Affair</t>
  </si>
  <si>
    <t>- Increase level of Talent Waivers</t>
  </si>
  <si>
    <t xml:space="preserve">Student Affairs' Commitments &amp; Obligations  </t>
  </si>
  <si>
    <t>peration S - Perars forondel</t>
  </si>
  <si>
    <t>As of March 6, 2019</t>
  </si>
  <si>
    <t>Using current dept budget</t>
  </si>
  <si>
    <t xml:space="preserve">            $262K budget approvals from Fund 230 for FY20 Budget Requests</t>
  </si>
  <si>
    <t>Prop301</t>
  </si>
  <si>
    <t>710-PVMAINCA-802110_INSTRCTO</t>
  </si>
  <si>
    <t>710-PVMAINCA-800160_INSTRCTO</t>
  </si>
  <si>
    <t>710-PVMAINCA-802170_ACAD_SPP</t>
  </si>
  <si>
    <t>710-PVMAINCA-800195_INSTRCTO</t>
  </si>
  <si>
    <t>710-PVMAINCA-801715_INSTRCTO</t>
  </si>
  <si>
    <t>710-PVMAINCA-802255_ACAD_SPP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</si>
</sst>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 numFmtId="167" formatCode="_(&quot;$&quot;* #,##0_);_(&quot;$&quot;* \(#,##0\);_(&quot;$&quot;* &quot;-&quot;?_);_(@_)"/>
    <numFmt numFmtId="168" formatCode="0.000"/>
    <numFmt numFmtId="169" formatCode="&quot;$&quot;#,##0"/>
  </numFmts>
  <fonts count="3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1"/>
      <color rgb="FF9C0006"/>
      <name val="Calibri"/>
      <family val="2"/>
      <scheme val="minor"/>
    </font>
    <font>
      <b/>
      <sz val="18"/>
      <color theme="1"/>
      <name val="Calibri"/>
      <family val="2"/>
      <scheme val="minor"/>
    </font>
    <font>
      <b/>
      <i/>
      <sz val="22"/>
      <color theme="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sz val="10"/>
      <name val="Verdana"/>
      <family val="2"/>
    </font>
    <font>
      <b/>
      <sz val="11"/>
      <name val="Calibri Light"/>
      <family val="1"/>
      <scheme val="major"/>
    </font>
    <font>
      <sz val="10"/>
      <name val="Myriad Pro"/>
      <family val="2"/>
    </font>
    <font>
      <sz val="10"/>
      <color indexed="10"/>
      <name val="Myriad Pro"/>
      <family val="2"/>
    </font>
    <font>
      <b/>
      <sz val="10"/>
      <name val="Myriad Pro"/>
      <family val="2"/>
    </font>
    <font>
      <sz val="11"/>
      <name val="Myriad Pro"/>
      <family val="2"/>
    </font>
    <font>
      <sz val="10"/>
      <color indexed="55"/>
      <name val="Myriad Pro"/>
      <family val="2"/>
    </font>
    <font>
      <sz val="10"/>
      <name val="Arial"/>
      <family val="2"/>
    </font>
    <font>
      <i/>
      <sz val="10"/>
      <name val="Myriad Pro"/>
      <family val="2"/>
    </font>
    <font>
      <sz val="10"/>
      <color theme="1"/>
      <name val="Calibri"/>
      <family val="2"/>
      <scheme val="minor"/>
    </font>
    <font>
      <sz val="1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sz val="12"/>
      <name val="Calibri"/>
      <family val="2"/>
    </font>
    <font>
      <b/>
      <sz val="11"/>
      <color theme="0"/>
      <name val="Calibri"/>
      <family val="2"/>
      <scheme val="minor"/>
    </font>
    <font>
      <b/>
      <sz val="24"/>
      <color theme="1"/>
      <name val="Calibri"/>
      <family val="2"/>
      <scheme val="minor"/>
    </font>
    <font>
      <sz val="24"/>
      <color theme="1"/>
      <name val="Calibri"/>
      <family val="2"/>
      <scheme val="minor"/>
    </font>
    <font>
      <sz val="12"/>
      <color theme="1"/>
      <name val="Arial"/>
      <family val="2"/>
    </font>
    <font>
      <b/>
      <sz val="20"/>
      <color theme="0"/>
      <name val="Calibri"/>
      <family val="2"/>
      <scheme val="minor"/>
    </font>
    <font>
      <i/>
      <sz val="10"/>
      <color theme="1"/>
      <name val="Calibri"/>
      <family val="2"/>
      <scheme val="minor"/>
    </font>
    <font>
      <b/>
      <i/>
      <sz val="10"/>
      <color theme="1"/>
      <name val="Calibri"/>
      <family val="2"/>
      <scheme val="minor"/>
    </font>
    <font>
      <b/>
      <sz val="11"/>
      <name val="Calibri"/>
      <family val="2"/>
      <scheme val="minor"/>
    </font>
    <font>
      <sz val="16"/>
      <name val="Calibri Light"/>
      <family val="2"/>
      <scheme val="major"/>
    </font>
    <font>
      <b/>
      <sz val="12"/>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7CE"/>
      </patternFill>
    </fill>
    <fill>
      <patternFill patternType="solid">
        <fgColor rgb="FFFFFFCC"/>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F2CC"/>
        <bgColor rgb="FFFFF2CC"/>
      </patternFill>
    </fill>
    <fill>
      <patternFill patternType="solid">
        <fgColor theme="0"/>
        <bgColor rgb="FFFFF2CC"/>
      </patternFill>
    </fill>
    <fill>
      <patternFill patternType="solid">
        <fgColor theme="0"/>
        <bgColor rgb="FFD9E2F3"/>
      </patternFill>
    </fill>
    <fill>
      <patternFill patternType="solid">
        <fgColor rgb="FFA5A5A5"/>
      </patternFill>
    </fill>
    <fill>
      <patternFill patternType="solid">
        <fgColor theme="4" tint="-0.249977111117893"/>
        <bgColor indexed="64"/>
      </patternFill>
    </fill>
    <fill>
      <patternFill patternType="solid">
        <fgColor theme="9" tint="0.59999389629810485"/>
        <bgColor indexed="64"/>
      </patternFill>
    </fill>
    <fill>
      <patternFill patternType="solid">
        <fgColor theme="5" tint="0.79998168889431442"/>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auto="1"/>
      </top>
      <bottom style="medium">
        <color auto="1"/>
      </bottom>
      <diagonal/>
    </border>
    <border>
      <left style="thin">
        <color rgb="FFB2B2B2"/>
      </left>
      <right style="thin">
        <color rgb="FFB2B2B2"/>
      </right>
      <top style="thin">
        <color auto="1"/>
      </top>
      <bottom style="medium">
        <color auto="1"/>
      </bottom>
      <diagonal/>
    </border>
    <border>
      <left/>
      <right/>
      <top style="medium">
        <color auto="1"/>
      </top>
      <bottom/>
      <diagonal/>
    </border>
    <border>
      <left style="thin">
        <color indexed="64"/>
      </left>
      <right/>
      <top/>
      <bottom/>
      <diagonal/>
    </border>
    <border>
      <left style="medium">
        <color auto="1"/>
      </left>
      <right/>
      <top style="medium">
        <color auto="1"/>
      </top>
      <bottom style="medium">
        <color theme="4"/>
      </bottom>
      <diagonal/>
    </border>
    <border>
      <left/>
      <right/>
      <top style="medium">
        <color auto="1"/>
      </top>
      <bottom style="medium">
        <color theme="4"/>
      </bottom>
      <diagonal/>
    </border>
    <border>
      <left style="thin">
        <color auto="1"/>
      </left>
      <right style="thin">
        <color auto="1"/>
      </right>
      <top style="medium">
        <color auto="1"/>
      </top>
      <bottom style="medium">
        <color theme="4"/>
      </bottom>
      <diagonal/>
    </border>
    <border>
      <left style="medium">
        <color auto="1"/>
      </left>
      <right style="medium">
        <color auto="1"/>
      </right>
      <top style="medium">
        <color auto="1"/>
      </top>
      <bottom style="medium">
        <color theme="4"/>
      </bottom>
      <diagonal/>
    </border>
    <border>
      <left style="medium">
        <color auto="1"/>
      </left>
      <right/>
      <top style="medium">
        <color theme="3" tint="0.59996337778862885"/>
      </top>
      <bottom style="medium">
        <color auto="1"/>
      </bottom>
      <diagonal/>
    </border>
    <border>
      <left/>
      <right/>
      <top style="medium">
        <color theme="3" tint="0.59996337778862885"/>
      </top>
      <bottom style="medium">
        <color auto="1"/>
      </bottom>
      <diagonal/>
    </border>
    <border>
      <left style="thin">
        <color auto="1"/>
      </left>
      <right style="thin">
        <color auto="1"/>
      </right>
      <top style="medium">
        <color theme="3" tint="0.59996337778862885"/>
      </top>
      <bottom style="medium">
        <color auto="1"/>
      </bottom>
      <diagonal/>
    </border>
    <border>
      <left style="medium">
        <color auto="1"/>
      </left>
      <right style="medium">
        <color auto="1"/>
      </right>
      <top style="medium">
        <color theme="3" tint="0.59996337778862885"/>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medium">
        <color auto="1"/>
      </right>
      <top/>
      <bottom/>
      <diagonal/>
    </border>
    <border>
      <left/>
      <right/>
      <top/>
      <bottom style="thin">
        <color indexed="64"/>
      </bottom>
      <diagonal/>
    </border>
    <border>
      <left style="thin">
        <color auto="1"/>
      </left>
      <right style="medium">
        <color auto="1"/>
      </right>
      <top/>
      <bottom style="medium">
        <color auto="1"/>
      </bottom>
      <diagonal/>
    </border>
    <border>
      <left style="medium">
        <color auto="1"/>
      </left>
      <right/>
      <top style="medium">
        <color auto="1"/>
      </top>
      <bottom/>
      <diagonal/>
    </border>
    <border>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theme="0" tint="-0.34998626667073579"/>
      </top>
      <bottom style="medium">
        <color auto="1"/>
      </bottom>
      <diagonal/>
    </border>
    <border>
      <left style="medium">
        <color indexed="64"/>
      </left>
      <right/>
      <top style="medium">
        <color theme="0" tint="-0.34998626667073579"/>
      </top>
      <bottom style="medium">
        <color auto="1"/>
      </bottom>
      <diagonal/>
    </border>
    <border>
      <left/>
      <right/>
      <top style="medium">
        <color theme="0" tint="-0.34998626667073579"/>
      </top>
      <bottom style="medium">
        <color auto="1"/>
      </bottom>
      <diagonal/>
    </border>
    <border>
      <left/>
      <right style="medium">
        <color auto="1"/>
      </right>
      <top style="medium">
        <color theme="0" tint="-0.34998626667073579"/>
      </top>
      <bottom style="medium">
        <color auto="1"/>
      </bottom>
      <diagonal/>
    </border>
    <border>
      <left style="medium">
        <color auto="1"/>
      </left>
      <right style="medium">
        <color auto="1"/>
      </right>
      <top style="medium">
        <color auto="1"/>
      </top>
      <bottom style="medium">
        <color theme="4" tint="-0.24994659260841701"/>
      </bottom>
      <diagonal/>
    </border>
    <border>
      <left style="medium">
        <color auto="1"/>
      </left>
      <right/>
      <top style="medium">
        <color auto="1"/>
      </top>
      <bottom style="medium">
        <color theme="4" tint="-0.24994659260841701"/>
      </bottom>
      <diagonal/>
    </border>
    <border>
      <left/>
      <right style="medium">
        <color indexed="64"/>
      </right>
      <top style="medium">
        <color auto="1"/>
      </top>
      <bottom style="medium">
        <color theme="4" tint="-0.24994659260841701"/>
      </bottom>
      <diagonal/>
    </border>
    <border>
      <left style="medium">
        <color indexed="64"/>
      </left>
      <right style="medium">
        <color auto="1"/>
      </right>
      <top style="medium">
        <color theme="4" tint="-0.24994659260841701"/>
      </top>
      <bottom/>
      <diagonal/>
    </border>
    <border>
      <left style="medium">
        <color indexed="64"/>
      </left>
      <right style="medium">
        <color auto="1"/>
      </right>
      <top/>
      <bottom style="medium">
        <color theme="0" tint="-0.34998626667073579"/>
      </bottom>
      <diagonal/>
    </border>
  </borders>
  <cellStyleXfs count="11">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5" fillId="6" borderId="0" applyNumberFormat="0" applyBorder="0" applyAlignment="0" applyProtection="0"/>
    <xf numFmtId="0" fontId="1" fillId="7" borderId="10" applyNumberFormat="0" applyFont="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0" fontId="26" fillId="22" borderId="51" applyNumberFormat="0" applyAlignment="0" applyProtection="0"/>
  </cellStyleXfs>
  <cellXfs count="541">
    <xf numFmtId="0" fontId="0" fillId="0" borderId="0" xfId="0"/>
    <xf numFmtId="0" fontId="4" fillId="0" borderId="0" xfId="0" applyFont="1" applyAlignment="1">
      <alignment vertical="center"/>
    </xf>
    <xf numFmtId="0" fontId="0" fillId="0" borderId="0" xfId="0" applyAlignment="1">
      <alignment wrapText="1"/>
    </xf>
    <xf numFmtId="0" fontId="3" fillId="0" borderId="1" xfId="0" applyFont="1" applyBorder="1" applyAlignment="1">
      <alignment vertical="top"/>
    </xf>
    <xf numFmtId="0" fontId="3" fillId="0" borderId="2" xfId="0" applyFont="1" applyBorder="1" applyAlignment="1">
      <alignment vertical="top" wrapText="1"/>
    </xf>
    <xf numFmtId="0" fontId="3" fillId="0" borderId="2" xfId="0" applyFont="1" applyBorder="1" applyAlignment="1">
      <alignment vertical="top"/>
    </xf>
    <xf numFmtId="0" fontId="3" fillId="0" borderId="2" xfId="0" applyFont="1" applyBorder="1" applyAlignment="1">
      <alignment horizontal="center" vertical="top" wrapText="1"/>
    </xf>
    <xf numFmtId="0" fontId="3" fillId="0" borderId="0" xfId="0" applyFont="1"/>
    <xf numFmtId="0" fontId="3" fillId="2" borderId="5" xfId="0" applyFont="1" applyFill="1" applyBorder="1" applyAlignment="1"/>
    <xf numFmtId="0" fontId="3" fillId="2" borderId="6" xfId="0" applyFont="1" applyFill="1" applyBorder="1" applyAlignment="1">
      <alignment wrapText="1"/>
    </xf>
    <xf numFmtId="0" fontId="3" fillId="2" borderId="6" xfId="0" applyFont="1" applyFill="1" applyBorder="1" applyAlignment="1"/>
    <xf numFmtId="0" fontId="3" fillId="2" borderId="6" xfId="0" applyFont="1" applyFill="1" applyBorder="1" applyAlignment="1">
      <alignment horizontal="center" wrapText="1"/>
    </xf>
    <xf numFmtId="0" fontId="2" fillId="0" borderId="5" xfId="0" applyFont="1" applyBorder="1" applyAlignment="1">
      <alignment vertical="top"/>
    </xf>
    <xf numFmtId="0" fontId="0" fillId="0" borderId="6" xfId="0" applyBorder="1" applyAlignment="1">
      <alignment vertical="top"/>
    </xf>
    <xf numFmtId="0" fontId="0" fillId="0" borderId="6" xfId="0" applyBorder="1" applyAlignment="1">
      <alignment vertical="top" wrapText="1"/>
    </xf>
    <xf numFmtId="164" fontId="0" fillId="0" borderId="6" xfId="1" applyNumberFormat="1" applyFont="1" applyBorder="1" applyAlignment="1">
      <alignment vertical="top"/>
    </xf>
    <xf numFmtId="164" fontId="0" fillId="0" borderId="7" xfId="1" applyNumberFormat="1" applyFont="1" applyBorder="1" applyAlignment="1">
      <alignment vertical="top"/>
    </xf>
    <xf numFmtId="0" fontId="0" fillId="0" borderId="5" xfId="0" applyFont="1" applyBorder="1" applyAlignment="1">
      <alignment vertical="top"/>
    </xf>
    <xf numFmtId="164" fontId="0" fillId="0" borderId="6" xfId="1" applyNumberFormat="1" applyFont="1"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5" xfId="0" applyBorder="1" applyAlignment="1">
      <alignment vertical="top"/>
    </xf>
    <xf numFmtId="0" fontId="0" fillId="3" borderId="0" xfId="0" applyFill="1"/>
    <xf numFmtId="0" fontId="0" fillId="4" borderId="5" xfId="0" applyFill="1" applyBorder="1" applyAlignment="1">
      <alignment vertical="top"/>
    </xf>
    <xf numFmtId="0" fontId="0" fillId="4" borderId="6" xfId="0" applyFill="1" applyBorder="1" applyAlignment="1">
      <alignment vertical="top"/>
    </xf>
    <xf numFmtId="0" fontId="0" fillId="4" borderId="6" xfId="0" applyFill="1" applyBorder="1" applyAlignment="1">
      <alignment vertical="top" wrapText="1"/>
    </xf>
    <xf numFmtId="164" fontId="0" fillId="4" borderId="6" xfId="1" applyNumberFormat="1" applyFont="1" applyFill="1" applyBorder="1" applyAlignment="1">
      <alignment vertical="top"/>
    </xf>
    <xf numFmtId="0" fontId="0" fillId="4" borderId="0" xfId="0" applyFill="1"/>
    <xf numFmtId="0" fontId="0" fillId="0" borderId="5" xfId="0" applyFill="1" applyBorder="1" applyAlignment="1">
      <alignment vertical="top"/>
    </xf>
    <xf numFmtId="0" fontId="0" fillId="0" borderId="6" xfId="0" applyFill="1" applyBorder="1" applyAlignment="1">
      <alignment vertical="top"/>
    </xf>
    <xf numFmtId="0" fontId="0" fillId="0" borderId="6" xfId="0" applyFill="1" applyBorder="1" applyAlignment="1">
      <alignment vertical="top" wrapText="1"/>
    </xf>
    <xf numFmtId="164" fontId="0" fillId="0" borderId="6" xfId="1" applyNumberFormat="1" applyFont="1" applyFill="1" applyBorder="1" applyAlignment="1">
      <alignment vertical="top"/>
    </xf>
    <xf numFmtId="164" fontId="0" fillId="0" borderId="7" xfId="1" applyNumberFormat="1" applyFont="1" applyFill="1" applyBorder="1" applyAlignment="1">
      <alignment vertical="top"/>
    </xf>
    <xf numFmtId="0" fontId="0" fillId="0" borderId="0" xfId="0" applyFill="1"/>
    <xf numFmtId="0" fontId="0" fillId="5" borderId="0" xfId="0" applyFill="1"/>
    <xf numFmtId="0" fontId="0" fillId="0" borderId="0" xfId="0" applyAlignment="1">
      <alignment vertical="top"/>
    </xf>
    <xf numFmtId="0" fontId="0" fillId="0" borderId="0" xfId="0" applyAlignment="1">
      <alignment horizontal="center"/>
    </xf>
    <xf numFmtId="0" fontId="0" fillId="0" borderId="8" xfId="0" applyBorder="1" applyAlignment="1">
      <alignment horizontal="center" vertical="top" wrapText="1"/>
    </xf>
    <xf numFmtId="0" fontId="0" fillId="0" borderId="0" xfId="0" applyAlignment="1">
      <alignment horizontal="center" vertical="top" wrapText="1"/>
    </xf>
    <xf numFmtId="0" fontId="3" fillId="0" borderId="3" xfId="0" applyFont="1" applyBorder="1" applyAlignment="1">
      <alignment horizontal="center" vertical="top" wrapText="1"/>
    </xf>
    <xf numFmtId="0" fontId="0" fillId="0" borderId="7" xfId="0" applyBorder="1" applyAlignment="1">
      <alignment horizontal="center" vertical="top"/>
    </xf>
    <xf numFmtId="0" fontId="0" fillId="0" borderId="7" xfId="0" applyBorder="1" applyAlignment="1">
      <alignment horizontal="center" vertical="top" wrapText="1"/>
    </xf>
    <xf numFmtId="0" fontId="0" fillId="0" borderId="14"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wrapText="1"/>
    </xf>
    <xf numFmtId="164" fontId="0" fillId="0" borderId="7" xfId="0" applyNumberFormat="1" applyBorder="1" applyAlignment="1">
      <alignment vertical="top" wrapText="1"/>
    </xf>
    <xf numFmtId="0" fontId="3" fillId="0" borderId="1" xfId="0" applyFont="1" applyBorder="1" applyAlignment="1">
      <alignment vertical="top" wrapText="1"/>
    </xf>
    <xf numFmtId="0" fontId="3" fillId="0" borderId="11" xfId="0" applyFont="1" applyBorder="1" applyAlignment="1">
      <alignment horizontal="center" vertical="top" wrapText="1"/>
    </xf>
    <xf numFmtId="0" fontId="0" fillId="0" borderId="14" xfId="0" applyFill="1" applyBorder="1" applyAlignment="1">
      <alignment horizontal="center" vertical="top" wrapText="1"/>
    </xf>
    <xf numFmtId="0" fontId="0" fillId="2" borderId="5" xfId="0" applyFill="1" applyBorder="1" applyAlignment="1">
      <alignment vertical="center"/>
    </xf>
    <xf numFmtId="0" fontId="0" fillId="2" borderId="6" xfId="0" applyFill="1" applyBorder="1" applyAlignment="1">
      <alignment vertical="center" wrapText="1"/>
    </xf>
    <xf numFmtId="0" fontId="0" fillId="2" borderId="6" xfId="0" applyFill="1" applyBorder="1" applyAlignment="1">
      <alignment vertical="center"/>
    </xf>
    <xf numFmtId="164" fontId="3" fillId="2" borderId="6" xfId="1" applyNumberFormat="1" applyFont="1" applyFill="1" applyBorder="1" applyAlignment="1">
      <alignment vertical="center"/>
    </xf>
    <xf numFmtId="164" fontId="3" fillId="2" borderId="7" xfId="1" applyNumberFormat="1" applyFont="1" applyFill="1" applyBorder="1" applyAlignment="1">
      <alignment horizontal="center" vertical="center"/>
    </xf>
    <xf numFmtId="0" fontId="0" fillId="2" borderId="13" xfId="0" applyFill="1" applyBorder="1" applyAlignment="1">
      <alignment horizontal="center" vertical="center" wrapText="1"/>
    </xf>
    <xf numFmtId="0" fontId="0" fillId="0" borderId="0" xfId="0" applyAlignment="1">
      <alignment vertical="center"/>
    </xf>
    <xf numFmtId="164" fontId="0" fillId="0" borderId="7" xfId="1" applyNumberFormat="1" applyFont="1" applyBorder="1" applyAlignment="1">
      <alignment horizontal="center" vertical="top"/>
    </xf>
    <xf numFmtId="0" fontId="0" fillId="0" borderId="6" xfId="0" applyBorder="1" applyAlignment="1">
      <alignment horizontal="center" vertical="top" wrapText="1"/>
    </xf>
    <xf numFmtId="0" fontId="0" fillId="2" borderId="19" xfId="0" applyFill="1" applyBorder="1" applyAlignment="1">
      <alignment horizontal="center" vertical="center" wrapText="1"/>
    </xf>
    <xf numFmtId="0" fontId="0" fillId="2" borderId="20" xfId="0" applyFill="1" applyBorder="1" applyAlignment="1">
      <alignment vertical="center"/>
    </xf>
    <xf numFmtId="0" fontId="0" fillId="2" borderId="21" xfId="0" applyFill="1" applyBorder="1" applyAlignment="1">
      <alignment vertical="center" wrapText="1"/>
    </xf>
    <xf numFmtId="0" fontId="0" fillId="2" borderId="21" xfId="0" applyFill="1" applyBorder="1" applyAlignment="1">
      <alignment vertical="center"/>
    </xf>
    <xf numFmtId="0" fontId="3" fillId="2" borderId="21" xfId="0" applyFont="1" applyFill="1" applyBorder="1" applyAlignment="1">
      <alignment horizontal="right" vertical="center"/>
    </xf>
    <xf numFmtId="164" fontId="3" fillId="2" borderId="21" xfId="1" applyNumberFormat="1" applyFont="1" applyFill="1" applyBorder="1" applyAlignment="1">
      <alignment vertical="center"/>
    </xf>
    <xf numFmtId="164" fontId="3" fillId="2" borderId="22" xfId="1" applyNumberFormat="1" applyFont="1" applyFill="1" applyBorder="1" applyAlignment="1">
      <alignment horizontal="center" vertical="center"/>
    </xf>
    <xf numFmtId="0" fontId="0" fillId="0" borderId="0" xfId="0" applyAlignment="1">
      <alignment horizontal="center" vertical="top"/>
    </xf>
    <xf numFmtId="0" fontId="3" fillId="2" borderId="6" xfId="0" applyFont="1" applyFill="1" applyBorder="1" applyAlignment="1">
      <alignment vertical="top" wrapText="1"/>
    </xf>
    <xf numFmtId="0" fontId="3" fillId="2" borderId="6" xfId="0" applyFont="1" applyFill="1" applyBorder="1" applyAlignment="1">
      <alignment vertical="top"/>
    </xf>
    <xf numFmtId="0" fontId="3" fillId="2" borderId="6" xfId="0" applyFont="1" applyFill="1" applyBorder="1" applyAlignment="1">
      <alignment horizontal="center" vertical="top" wrapText="1"/>
    </xf>
    <xf numFmtId="0" fontId="3" fillId="2" borderId="7" xfId="0" applyFont="1" applyFill="1" applyBorder="1" applyAlignment="1">
      <alignment vertical="top" wrapText="1"/>
    </xf>
    <xf numFmtId="0" fontId="3" fillId="2" borderId="23" xfId="0" applyFont="1" applyFill="1" applyBorder="1" applyAlignment="1">
      <alignment vertical="top" wrapText="1"/>
    </xf>
    <xf numFmtId="0" fontId="0" fillId="0" borderId="6" xfId="0" applyBorder="1" applyAlignment="1">
      <alignment horizontal="center" vertical="top"/>
    </xf>
    <xf numFmtId="0" fontId="0" fillId="0" borderId="0" xfId="0" applyBorder="1"/>
    <xf numFmtId="0" fontId="3" fillId="0" borderId="6" xfId="0" applyFont="1" applyBorder="1" applyAlignment="1">
      <alignment vertical="center" wrapText="1"/>
    </xf>
    <xf numFmtId="164" fontId="3" fillId="0" borderId="6" xfId="1" applyNumberFormat="1" applyFont="1" applyBorder="1" applyAlignment="1">
      <alignment vertical="center"/>
    </xf>
    <xf numFmtId="164" fontId="3" fillId="0" borderId="7" xfId="1" applyNumberFormat="1" applyFont="1" applyBorder="1" applyAlignment="1">
      <alignment vertical="center"/>
    </xf>
    <xf numFmtId="0" fontId="3" fillId="0" borderId="8" xfId="0" applyFont="1" applyBorder="1" applyAlignment="1">
      <alignment vertical="center" wrapText="1"/>
    </xf>
    <xf numFmtId="164" fontId="4" fillId="2" borderId="6" xfId="1" applyNumberFormat="1" applyFont="1" applyFill="1" applyBorder="1" applyAlignment="1">
      <alignment wrapText="1"/>
    </xf>
    <xf numFmtId="0" fontId="3" fillId="2" borderId="0" xfId="0" applyFont="1" applyFill="1" applyAlignment="1">
      <alignment vertical="center"/>
    </xf>
    <xf numFmtId="0" fontId="3" fillId="2" borderId="0" xfId="0" applyFont="1" applyFill="1" applyAlignment="1">
      <alignment vertical="center" wrapText="1"/>
    </xf>
    <xf numFmtId="164" fontId="3" fillId="2" borderId="0" xfId="0" applyNumberFormat="1" applyFont="1" applyFill="1" applyAlignment="1">
      <alignment vertical="center"/>
    </xf>
    <xf numFmtId="0" fontId="3" fillId="10" borderId="6" xfId="0" applyFont="1" applyFill="1" applyBorder="1" applyAlignment="1">
      <alignment vertical="top"/>
    </xf>
    <xf numFmtId="0" fontId="3" fillId="10" borderId="6" xfId="0" applyFont="1" applyFill="1" applyBorder="1" applyAlignment="1">
      <alignment vertical="top" wrapText="1"/>
    </xf>
    <xf numFmtId="0" fontId="3" fillId="10" borderId="6" xfId="0" applyFont="1" applyFill="1" applyBorder="1" applyAlignment="1">
      <alignment horizontal="center" vertical="top" wrapText="1"/>
    </xf>
    <xf numFmtId="0" fontId="7" fillId="0" borderId="26" xfId="0" applyFont="1" applyBorder="1"/>
    <xf numFmtId="0" fontId="3" fillId="0" borderId="26" xfId="0" applyFont="1" applyBorder="1" applyAlignment="1">
      <alignment horizontal="center"/>
    </xf>
    <xf numFmtId="165" fontId="0" fillId="0" borderId="0" xfId="0" applyNumberFormat="1"/>
    <xf numFmtId="165" fontId="0" fillId="0" borderId="0" xfId="2" applyNumberFormat="1" applyFont="1" applyAlignment="1">
      <alignment horizontal="center"/>
    </xf>
    <xf numFmtId="10" fontId="0" fillId="0" borderId="0" xfId="0" applyNumberFormat="1"/>
    <xf numFmtId="10" fontId="0" fillId="0" borderId="0" xfId="3" applyNumberFormat="1" applyFont="1" applyAlignment="1">
      <alignment horizontal="right"/>
    </xf>
    <xf numFmtId="9" fontId="0" fillId="0" borderId="0" xfId="3" applyFont="1"/>
    <xf numFmtId="0" fontId="0" fillId="10" borderId="10" xfId="5" applyFont="1" applyFill="1"/>
    <xf numFmtId="43" fontId="0" fillId="10" borderId="10" xfId="5" applyNumberFormat="1" applyFont="1" applyFill="1"/>
    <xf numFmtId="165" fontId="0" fillId="10" borderId="10" xfId="5" applyNumberFormat="1" applyFont="1" applyFill="1"/>
    <xf numFmtId="164" fontId="0" fillId="10" borderId="10" xfId="5" applyNumberFormat="1" applyFont="1" applyFill="1"/>
    <xf numFmtId="0" fontId="5" fillId="6" borderId="0" xfId="4"/>
    <xf numFmtId="164" fontId="5" fillId="6" borderId="0" xfId="4" applyNumberFormat="1"/>
    <xf numFmtId="164" fontId="5" fillId="6" borderId="0" xfId="4" applyNumberFormat="1" applyAlignment="1">
      <alignment horizontal="right"/>
    </xf>
    <xf numFmtId="44" fontId="5" fillId="6" borderId="0" xfId="4" applyNumberFormat="1"/>
    <xf numFmtId="0" fontId="0" fillId="0" borderId="27" xfId="0" applyBorder="1"/>
    <xf numFmtId="164" fontId="0" fillId="0" borderId="27" xfId="1" applyNumberFormat="1" applyFont="1" applyBorder="1"/>
    <xf numFmtId="0" fontId="8" fillId="0" borderId="0" xfId="0" applyFont="1"/>
    <xf numFmtId="166" fontId="9" fillId="0" borderId="0" xfId="3" applyNumberFormat="1" applyFont="1"/>
    <xf numFmtId="0" fontId="9" fillId="0" borderId="0" xfId="0" applyFont="1"/>
    <xf numFmtId="0" fontId="10" fillId="0" borderId="26" xfId="0" applyFont="1" applyBorder="1"/>
    <xf numFmtId="164" fontId="0" fillId="0" borderId="0" xfId="1" applyNumberFormat="1" applyFont="1"/>
    <xf numFmtId="165" fontId="0" fillId="0" borderId="0" xfId="2" applyNumberFormat="1" applyFont="1"/>
    <xf numFmtId="165" fontId="0" fillId="10" borderId="10" xfId="2" applyNumberFormat="1" applyFont="1" applyFill="1" applyBorder="1"/>
    <xf numFmtId="0" fontId="0" fillId="11" borderId="28" xfId="5" applyFont="1" applyFill="1" applyBorder="1"/>
    <xf numFmtId="164" fontId="0" fillId="11" borderId="28" xfId="5" applyNumberFormat="1" applyFont="1" applyFill="1" applyBorder="1"/>
    <xf numFmtId="0" fontId="0" fillId="0" borderId="26" xfId="0" applyBorder="1"/>
    <xf numFmtId="0" fontId="0" fillId="11" borderId="27" xfId="0" applyFill="1" applyBorder="1"/>
    <xf numFmtId="164" fontId="0" fillId="11" borderId="27" xfId="0" applyNumberFormat="1" applyFill="1" applyBorder="1"/>
    <xf numFmtId="164" fontId="0" fillId="11" borderId="27" xfId="1" applyNumberFormat="1" applyFont="1" applyFill="1" applyBorder="1"/>
    <xf numFmtId="164" fontId="0" fillId="0" borderId="26" xfId="1" applyNumberFormat="1" applyFont="1" applyBorder="1"/>
    <xf numFmtId="0" fontId="0" fillId="10" borderId="29" xfId="0" applyFill="1" applyBorder="1"/>
    <xf numFmtId="164" fontId="0" fillId="10" borderId="29" xfId="1" applyNumberFormat="1" applyFont="1" applyFill="1" applyBorder="1"/>
    <xf numFmtId="167" fontId="0" fillId="0" borderId="0" xfId="0" applyNumberFormat="1"/>
    <xf numFmtId="164" fontId="0" fillId="0" borderId="0" xfId="0" applyNumberFormat="1"/>
    <xf numFmtId="0" fontId="0" fillId="10" borderId="0" xfId="0" applyFill="1" applyBorder="1"/>
    <xf numFmtId="164" fontId="0" fillId="10" borderId="0" xfId="1" applyNumberFormat="1" applyFont="1" applyFill="1" applyBorder="1"/>
    <xf numFmtId="0" fontId="12" fillId="0" borderId="0" xfId="6" applyFont="1" applyBorder="1" applyAlignment="1"/>
    <xf numFmtId="3" fontId="13" fillId="0" borderId="0" xfId="6" applyNumberFormat="1" applyFont="1" applyBorder="1"/>
    <xf numFmtId="0" fontId="13" fillId="0" borderId="0" xfId="6" applyFont="1" applyBorder="1"/>
    <xf numFmtId="3" fontId="14" fillId="0" borderId="30" xfId="6" applyNumberFormat="1" applyFont="1" applyBorder="1"/>
    <xf numFmtId="0" fontId="15" fillId="0" borderId="0" xfId="6" applyFont="1" applyBorder="1" applyAlignment="1">
      <alignment horizontal="center"/>
    </xf>
    <xf numFmtId="0" fontId="3" fillId="4" borderId="34" xfId="0" applyFont="1" applyFill="1" applyBorder="1" applyAlignment="1">
      <alignment horizontal="center" wrapText="1"/>
    </xf>
    <xf numFmtId="0" fontId="16" fillId="0" borderId="9" xfId="6" applyFont="1" applyBorder="1"/>
    <xf numFmtId="164" fontId="17" fillId="0" borderId="0" xfId="7" applyNumberFormat="1" applyFont="1" applyBorder="1"/>
    <xf numFmtId="164" fontId="13" fillId="12" borderId="0" xfId="7" applyNumberFormat="1" applyFont="1" applyFill="1" applyBorder="1"/>
    <xf numFmtId="10" fontId="13" fillId="0" borderId="0" xfId="8" applyNumberFormat="1" applyFont="1" applyBorder="1"/>
    <xf numFmtId="164" fontId="13" fillId="0" borderId="0" xfId="7" applyNumberFormat="1" applyFont="1" applyBorder="1"/>
    <xf numFmtId="164" fontId="13" fillId="13" borderId="24" xfId="7" applyNumberFormat="1" applyFont="1" applyFill="1" applyBorder="1"/>
    <xf numFmtId="10" fontId="13" fillId="0" borderId="0" xfId="9" applyNumberFormat="1" applyFont="1" applyBorder="1" applyAlignment="1">
      <alignment horizontal="center"/>
    </xf>
    <xf numFmtId="164" fontId="0" fillId="10" borderId="12" xfId="1" applyNumberFormat="1" applyFont="1" applyFill="1" applyBorder="1"/>
    <xf numFmtId="164" fontId="0" fillId="0" borderId="12" xfId="1" applyNumberFormat="1" applyFont="1" applyBorder="1"/>
    <xf numFmtId="164" fontId="0" fillId="4" borderId="12" xfId="1" applyNumberFormat="1" applyFont="1" applyFill="1" applyBorder="1"/>
    <xf numFmtId="3" fontId="17" fillId="0" borderId="0" xfId="6" applyNumberFormat="1" applyFont="1" applyBorder="1"/>
    <xf numFmtId="10" fontId="13" fillId="0" borderId="0" xfId="6" applyNumberFormat="1" applyFont="1" applyBorder="1"/>
    <xf numFmtId="3" fontId="13" fillId="13" borderId="24" xfId="6" applyNumberFormat="1" applyFont="1" applyFill="1" applyBorder="1"/>
    <xf numFmtId="0" fontId="13" fillId="0" borderId="35" xfId="6" applyFont="1" applyBorder="1"/>
    <xf numFmtId="164" fontId="3" fillId="0" borderId="36" xfId="7" applyNumberFormat="1" applyFont="1" applyBorder="1"/>
    <xf numFmtId="164" fontId="3" fillId="12" borderId="36" xfId="7" applyNumberFormat="1" applyFont="1" applyFill="1" applyBorder="1"/>
    <xf numFmtId="164" fontId="3" fillId="13" borderId="37" xfId="7" applyNumberFormat="1" applyFont="1" applyFill="1" applyBorder="1"/>
    <xf numFmtId="164" fontId="13" fillId="0" borderId="36" xfId="6" applyNumberFormat="1" applyFont="1" applyBorder="1" applyAlignment="1">
      <alignment horizontal="center"/>
    </xf>
    <xf numFmtId="164" fontId="0" fillId="10" borderId="38" xfId="1" applyNumberFormat="1" applyFont="1" applyFill="1" applyBorder="1"/>
    <xf numFmtId="164" fontId="0" fillId="0" borderId="38" xfId="1" applyNumberFormat="1" applyFont="1" applyBorder="1"/>
    <xf numFmtId="164" fontId="0" fillId="4" borderId="38" xfId="1" applyNumberFormat="1" applyFont="1" applyFill="1" applyBorder="1"/>
    <xf numFmtId="0" fontId="19" fillId="0" borderId="30" xfId="6" applyFont="1" applyBorder="1"/>
    <xf numFmtId="164" fontId="3" fillId="0" borderId="0" xfId="7" applyNumberFormat="1" applyFont="1" applyBorder="1"/>
    <xf numFmtId="0" fontId="19" fillId="10" borderId="30" xfId="6" applyFont="1" applyFill="1" applyBorder="1"/>
    <xf numFmtId="0" fontId="0" fillId="10" borderId="0" xfId="0" applyFill="1"/>
    <xf numFmtId="0" fontId="3" fillId="0" borderId="0" xfId="0" applyFont="1" applyBorder="1" applyAlignment="1"/>
    <xf numFmtId="0" fontId="4" fillId="12" borderId="39" xfId="0" applyFont="1" applyFill="1" applyBorder="1"/>
    <xf numFmtId="0" fontId="0" fillId="12" borderId="40" xfId="0" applyFill="1" applyBorder="1"/>
    <xf numFmtId="0" fontId="0" fillId="12" borderId="41" xfId="0" applyFill="1" applyBorder="1"/>
    <xf numFmtId="0" fontId="3" fillId="0" borderId="39" xfId="0" applyFont="1" applyBorder="1" applyAlignment="1"/>
    <xf numFmtId="0" fontId="3" fillId="0" borderId="40" xfId="0" applyFont="1" applyBorder="1" applyAlignment="1"/>
    <xf numFmtId="0" fontId="3" fillId="0" borderId="41" xfId="0" applyFont="1" applyBorder="1" applyAlignment="1"/>
    <xf numFmtId="0" fontId="4" fillId="12" borderId="9" xfId="0" applyFont="1" applyFill="1" applyBorder="1"/>
    <xf numFmtId="0" fontId="0" fillId="12" borderId="0" xfId="0" applyFill="1" applyBorder="1"/>
    <xf numFmtId="0" fontId="0" fillId="12" borderId="42" xfId="0" applyFill="1" applyBorder="1"/>
    <xf numFmtId="0" fontId="8" fillId="0" borderId="9" xfId="0" applyFont="1" applyBorder="1"/>
    <xf numFmtId="0" fontId="3" fillId="0" borderId="23" xfId="0" applyFont="1" applyBorder="1" applyAlignment="1">
      <alignment horizontal="center" vertical="top" wrapText="1"/>
    </xf>
    <xf numFmtId="0" fontId="0" fillId="12" borderId="9" xfId="0" applyFill="1" applyBorder="1"/>
    <xf numFmtId="164" fontId="0" fillId="12" borderId="0" xfId="0" applyNumberFormat="1" applyFill="1" applyBorder="1"/>
    <xf numFmtId="0" fontId="20" fillId="10" borderId="0" xfId="0" applyFont="1" applyFill="1" applyBorder="1"/>
    <xf numFmtId="0" fontId="0" fillId="0" borderId="9" xfId="0" quotePrefix="1" applyBorder="1"/>
    <xf numFmtId="164" fontId="0" fillId="0" borderId="8" xfId="1" applyNumberFormat="1" applyFont="1" applyBorder="1"/>
    <xf numFmtId="164" fontId="0" fillId="0" borderId="8" xfId="1" applyNumberFormat="1" applyFont="1" applyBorder="1" applyAlignment="1">
      <alignment horizontal="center"/>
    </xf>
    <xf numFmtId="0" fontId="0" fillId="14" borderId="9" xfId="0" applyFill="1" applyBorder="1"/>
    <xf numFmtId="164" fontId="0" fillId="14" borderId="0" xfId="1" applyNumberFormat="1" applyFont="1" applyFill="1" applyBorder="1"/>
    <xf numFmtId="0" fontId="20" fillId="12" borderId="42" xfId="0" applyFont="1" applyFill="1" applyBorder="1"/>
    <xf numFmtId="0" fontId="0" fillId="10" borderId="9" xfId="0" quotePrefix="1" applyFill="1" applyBorder="1"/>
    <xf numFmtId="164" fontId="0" fillId="10" borderId="8" xfId="1" applyNumberFormat="1" applyFont="1" applyFill="1" applyBorder="1"/>
    <xf numFmtId="164" fontId="0" fillId="10" borderId="8" xfId="1" applyNumberFormat="1" applyFont="1" applyFill="1" applyBorder="1" applyAlignment="1">
      <alignment horizontal="center"/>
    </xf>
    <xf numFmtId="164" fontId="0" fillId="12" borderId="0" xfId="1" applyNumberFormat="1" applyFont="1" applyFill="1" applyBorder="1"/>
    <xf numFmtId="0" fontId="8" fillId="0" borderId="0" xfId="0" applyFont="1" applyBorder="1" applyAlignment="1">
      <alignment horizontal="right"/>
    </xf>
    <xf numFmtId="164" fontId="3" fillId="0" borderId="43" xfId="1" applyNumberFormat="1" applyFont="1" applyBorder="1"/>
    <xf numFmtId="164" fontId="3" fillId="0" borderId="43" xfId="1" applyNumberFormat="1" applyFont="1" applyBorder="1" applyAlignment="1">
      <alignment horizontal="center"/>
    </xf>
    <xf numFmtId="164" fontId="0" fillId="12" borderId="44" xfId="1" applyNumberFormat="1" applyFont="1" applyFill="1" applyBorder="1"/>
    <xf numFmtId="0" fontId="3" fillId="12" borderId="9" xfId="0" applyFont="1" applyFill="1" applyBorder="1"/>
    <xf numFmtId="164" fontId="0" fillId="12" borderId="27" xfId="0" applyNumberFormat="1" applyFill="1" applyBorder="1"/>
    <xf numFmtId="164" fontId="21" fillId="12" borderId="0" xfId="0" applyNumberFormat="1" applyFont="1" applyFill="1" applyBorder="1"/>
    <xf numFmtId="0" fontId="21" fillId="15" borderId="9" xfId="0" quotePrefix="1" applyFont="1" applyFill="1" applyBorder="1"/>
    <xf numFmtId="0" fontId="0" fillId="15" borderId="0" xfId="0" applyFill="1" applyBorder="1"/>
    <xf numFmtId="164" fontId="0" fillId="15" borderId="8" xfId="1" applyNumberFormat="1" applyFont="1" applyFill="1" applyBorder="1"/>
    <xf numFmtId="164" fontId="0" fillId="15" borderId="8" xfId="1" applyNumberFormat="1" applyFont="1" applyFill="1" applyBorder="1" applyAlignment="1">
      <alignment horizontal="center"/>
    </xf>
    <xf numFmtId="0" fontId="8" fillId="16" borderId="25" xfId="0" applyFont="1" applyFill="1" applyBorder="1"/>
    <xf numFmtId="0" fontId="0" fillId="16" borderId="26" xfId="0" applyFill="1" applyBorder="1"/>
    <xf numFmtId="164" fontId="3" fillId="16" borderId="45" xfId="1" applyNumberFormat="1" applyFont="1" applyFill="1" applyBorder="1"/>
    <xf numFmtId="164" fontId="3" fillId="16" borderId="45" xfId="1" applyNumberFormat="1" applyFont="1" applyFill="1" applyBorder="1" applyAlignment="1">
      <alignment horizontal="center"/>
    </xf>
    <xf numFmtId="164" fontId="0" fillId="12" borderId="27" xfId="1" applyNumberFormat="1" applyFont="1" applyFill="1" applyBorder="1"/>
    <xf numFmtId="0" fontId="8" fillId="15" borderId="46" xfId="0" applyFont="1" applyFill="1" applyBorder="1"/>
    <xf numFmtId="164" fontId="0" fillId="15" borderId="29" xfId="0" applyNumberFormat="1" applyFill="1" applyBorder="1"/>
    <xf numFmtId="164" fontId="3" fillId="15" borderId="29" xfId="0" applyNumberFormat="1" applyFont="1" applyFill="1" applyBorder="1"/>
    <xf numFmtId="0" fontId="0" fillId="15" borderId="18" xfId="0" applyFill="1" applyBorder="1"/>
    <xf numFmtId="0" fontId="20" fillId="10" borderId="0" xfId="0" applyFont="1" applyFill="1" applyBorder="1" applyAlignment="1">
      <alignment vertical="top" wrapText="1"/>
    </xf>
    <xf numFmtId="0" fontId="8" fillId="10" borderId="25" xfId="0" applyFont="1" applyFill="1" applyBorder="1"/>
    <xf numFmtId="164" fontId="0" fillId="10" borderId="26" xfId="0" applyNumberFormat="1" applyFill="1" applyBorder="1"/>
    <xf numFmtId="0" fontId="0" fillId="10" borderId="47" xfId="0" applyFill="1" applyBorder="1"/>
    <xf numFmtId="0" fontId="3" fillId="8" borderId="46" xfId="0" applyFont="1" applyFill="1" applyBorder="1"/>
    <xf numFmtId="0" fontId="0" fillId="8" borderId="29" xfId="0" applyFill="1" applyBorder="1"/>
    <xf numFmtId="0" fontId="0" fillId="8" borderId="18" xfId="0" applyFill="1" applyBorder="1"/>
    <xf numFmtId="0" fontId="0" fillId="8" borderId="9" xfId="0" applyFill="1" applyBorder="1"/>
    <xf numFmtId="0" fontId="0" fillId="8" borderId="0" xfId="0" applyFill="1" applyBorder="1"/>
    <xf numFmtId="0" fontId="3" fillId="10" borderId="25" xfId="0" applyFont="1" applyFill="1" applyBorder="1"/>
    <xf numFmtId="0" fontId="3" fillId="10" borderId="26" xfId="0" applyFont="1" applyFill="1" applyBorder="1"/>
    <xf numFmtId="9" fontId="3" fillId="0" borderId="0" xfId="3" applyFont="1" applyAlignment="1">
      <alignment horizontal="center"/>
    </xf>
    <xf numFmtId="0" fontId="3" fillId="0" borderId="46" xfId="0" applyFont="1" applyFill="1" applyBorder="1" applyAlignment="1">
      <alignment horizontal="left" vertical="center"/>
    </xf>
    <xf numFmtId="0" fontId="0" fillId="0" borderId="29" xfId="0" applyBorder="1"/>
    <xf numFmtId="0" fontId="3" fillId="0" borderId="29" xfId="0" applyFont="1" applyBorder="1" applyAlignment="1">
      <alignment wrapText="1"/>
    </xf>
    <xf numFmtId="0" fontId="3" fillId="0" borderId="18" xfId="0" applyFont="1" applyBorder="1" applyAlignment="1">
      <alignment wrapText="1"/>
    </xf>
    <xf numFmtId="0" fontId="0" fillId="0" borderId="9" xfId="0" applyBorder="1"/>
    <xf numFmtId="164" fontId="0" fillId="0" borderId="0" xfId="1" applyNumberFormat="1" applyFont="1" applyBorder="1"/>
    <xf numFmtId="164" fontId="0" fillId="0" borderId="42" xfId="1" applyNumberFormat="1" applyFont="1" applyBorder="1"/>
    <xf numFmtId="165" fontId="0" fillId="0" borderId="0" xfId="2" applyNumberFormat="1" applyFont="1" applyBorder="1"/>
    <xf numFmtId="165" fontId="0" fillId="0" borderId="42" xfId="2" applyNumberFormat="1" applyFont="1" applyBorder="1"/>
    <xf numFmtId="0" fontId="3" fillId="15" borderId="9" xfId="0" applyFont="1" applyFill="1" applyBorder="1"/>
    <xf numFmtId="0" fontId="3" fillId="15" borderId="0" xfId="0" applyFont="1" applyFill="1" applyBorder="1"/>
    <xf numFmtId="164" fontId="3" fillId="15" borderId="0" xfId="0" applyNumberFormat="1" applyFont="1" applyFill="1" applyBorder="1"/>
    <xf numFmtId="164" fontId="3" fillId="15" borderId="42" xfId="0" applyNumberFormat="1" applyFont="1" applyFill="1" applyBorder="1"/>
    <xf numFmtId="0" fontId="0" fillId="0" borderId="42" xfId="0" applyBorder="1"/>
    <xf numFmtId="0" fontId="3" fillId="0" borderId="9" xfId="0" applyFont="1" applyBorder="1"/>
    <xf numFmtId="0" fontId="0" fillId="0" borderId="25" xfId="0" applyBorder="1"/>
    <xf numFmtId="0" fontId="0" fillId="0" borderId="47" xfId="0" applyBorder="1"/>
    <xf numFmtId="0" fontId="0" fillId="0" borderId="0" xfId="0" applyAlignment="1">
      <alignment horizontal="center" wrapText="1"/>
    </xf>
    <xf numFmtId="0" fontId="3" fillId="9" borderId="6" xfId="0" applyFont="1" applyFill="1" applyBorder="1" applyAlignment="1">
      <alignment vertical="top" wrapText="1"/>
    </xf>
    <xf numFmtId="0" fontId="3" fillId="9" borderId="6" xfId="0" applyFont="1" applyFill="1" applyBorder="1" applyAlignment="1">
      <alignment horizontal="center" vertical="top" wrapText="1"/>
    </xf>
    <xf numFmtId="164" fontId="3" fillId="9" borderId="6" xfId="1" applyNumberFormat="1" applyFont="1" applyFill="1" applyBorder="1" applyAlignment="1">
      <alignment vertical="top" wrapText="1"/>
    </xf>
    <xf numFmtId="0" fontId="0" fillId="0" borderId="8" xfId="0" applyBorder="1" applyAlignment="1">
      <alignment horizontal="center" vertical="top"/>
    </xf>
    <xf numFmtId="0" fontId="3" fillId="0" borderId="0" xfId="0" applyFont="1" applyAlignment="1">
      <alignment vertical="center"/>
    </xf>
    <xf numFmtId="0" fontId="23" fillId="0" borderId="0" xfId="0" applyFont="1" applyAlignment="1">
      <alignment vertical="center"/>
    </xf>
    <xf numFmtId="0" fontId="0" fillId="0" borderId="0" xfId="0" applyAlignment="1"/>
    <xf numFmtId="0" fontId="3" fillId="4" borderId="1" xfId="0" applyFont="1" applyFill="1" applyBorder="1" applyAlignment="1">
      <alignment vertical="top" wrapText="1"/>
    </xf>
    <xf numFmtId="0" fontId="3" fillId="4" borderId="2" xfId="0" applyFont="1" applyFill="1" applyBorder="1" applyAlignment="1">
      <alignment vertical="top" wrapText="1"/>
    </xf>
    <xf numFmtId="0" fontId="3" fillId="4" borderId="2" xfId="0" applyFont="1" applyFill="1" applyBorder="1" applyAlignment="1">
      <alignment vertical="top"/>
    </xf>
    <xf numFmtId="0" fontId="3" fillId="4" borderId="2" xfId="0" applyFont="1" applyFill="1" applyBorder="1" applyAlignment="1">
      <alignment horizontal="center" vertical="top" wrapText="1"/>
    </xf>
    <xf numFmtId="0" fontId="3" fillId="4" borderId="4" xfId="0" applyFont="1" applyFill="1" applyBorder="1" applyAlignment="1">
      <alignment vertical="top" wrapText="1"/>
    </xf>
    <xf numFmtId="0" fontId="4" fillId="17" borderId="5" xfId="0" applyFont="1" applyFill="1" applyBorder="1" applyAlignment="1"/>
    <xf numFmtId="0" fontId="0" fillId="17" borderId="6" xfId="0" applyFill="1" applyBorder="1" applyAlignment="1">
      <alignment vertical="top" wrapText="1"/>
    </xf>
    <xf numFmtId="0" fontId="0" fillId="17" borderId="6" xfId="0" applyFill="1" applyBorder="1" applyAlignment="1">
      <alignment vertical="top"/>
    </xf>
    <xf numFmtId="164" fontId="0" fillId="17" borderId="6" xfId="1" applyNumberFormat="1" applyFont="1" applyFill="1" applyBorder="1" applyAlignment="1">
      <alignment vertical="top"/>
    </xf>
    <xf numFmtId="0" fontId="0" fillId="17" borderId="8" xfId="0" applyFill="1" applyBorder="1" applyAlignment="1">
      <alignment vertical="top"/>
    </xf>
    <xf numFmtId="0" fontId="0" fillId="0" borderId="8" xfId="0" applyBorder="1" applyAlignment="1">
      <alignment vertical="top"/>
    </xf>
    <xf numFmtId="0" fontId="0" fillId="10" borderId="5" xfId="0" applyFill="1" applyBorder="1" applyAlignment="1">
      <alignment vertical="top"/>
    </xf>
    <xf numFmtId="0" fontId="3" fillId="4" borderId="6" xfId="0" applyFont="1" applyFill="1" applyBorder="1" applyAlignment="1">
      <alignment vertical="top"/>
    </xf>
    <xf numFmtId="0" fontId="3" fillId="4" borderId="6" xfId="0" applyFont="1" applyFill="1" applyBorder="1" applyAlignment="1">
      <alignment horizontal="right" vertical="center"/>
    </xf>
    <xf numFmtId="164" fontId="3" fillId="4" borderId="6" xfId="1" applyNumberFormat="1" applyFont="1" applyFill="1" applyBorder="1" applyAlignment="1">
      <alignment vertical="center"/>
    </xf>
    <xf numFmtId="0" fontId="0" fillId="4" borderId="8" xfId="0" applyFill="1" applyBorder="1" applyAlignment="1">
      <alignment vertical="top"/>
    </xf>
    <xf numFmtId="0" fontId="3" fillId="4" borderId="5" xfId="0" applyFont="1" applyFill="1" applyBorder="1" applyAlignment="1">
      <alignment vertical="top"/>
    </xf>
    <xf numFmtId="0" fontId="3" fillId="4" borderId="6" xfId="0" applyFont="1" applyFill="1" applyBorder="1" applyAlignment="1">
      <alignment vertical="top" wrapText="1"/>
    </xf>
    <xf numFmtId="0" fontId="3" fillId="4" borderId="6" xfId="0" applyFont="1" applyFill="1" applyBorder="1" applyAlignment="1">
      <alignment vertical="center" wrapText="1"/>
    </xf>
    <xf numFmtId="0" fontId="3" fillId="4" borderId="6" xfId="0" applyFont="1" applyFill="1" applyBorder="1" applyAlignment="1">
      <alignment vertical="center"/>
    </xf>
    <xf numFmtId="0" fontId="3" fillId="4" borderId="8" xfId="0" applyFont="1" applyFill="1" applyBorder="1" applyAlignment="1">
      <alignment vertical="center"/>
    </xf>
    <xf numFmtId="0" fontId="0" fillId="4" borderId="0" xfId="0" applyFill="1" applyAlignment="1">
      <alignment vertical="top"/>
    </xf>
    <xf numFmtId="0" fontId="0" fillId="4" borderId="0" xfId="0" applyFill="1" applyAlignment="1">
      <alignment wrapText="1"/>
    </xf>
    <xf numFmtId="0" fontId="0" fillId="4" borderId="0" xfId="0" applyFill="1" applyAlignment="1"/>
    <xf numFmtId="0" fontId="3" fillId="4" borderId="0" xfId="0" applyFont="1" applyFill="1" applyAlignment="1">
      <alignment vertical="center" wrapText="1"/>
    </xf>
    <xf numFmtId="0" fontId="3" fillId="4" borderId="0" xfId="0" applyFont="1" applyFill="1" applyAlignment="1">
      <alignment vertical="center"/>
    </xf>
    <xf numFmtId="164" fontId="3" fillId="4" borderId="0" xfId="0" applyNumberFormat="1" applyFont="1" applyFill="1" applyAlignment="1">
      <alignment vertical="center"/>
    </xf>
    <xf numFmtId="0" fontId="22" fillId="0" borderId="0" xfId="0" applyFont="1" applyAlignment="1">
      <alignment vertical="top"/>
    </xf>
    <xf numFmtId="0" fontId="23" fillId="0" borderId="0" xfId="0" applyFont="1" applyAlignment="1">
      <alignment wrapText="1"/>
    </xf>
    <xf numFmtId="0" fontId="3" fillId="18" borderId="6" xfId="0" applyFont="1" applyFill="1" applyBorder="1" applyAlignment="1">
      <alignment vertical="top"/>
    </xf>
    <xf numFmtId="0" fontId="3" fillId="18" borderId="6" xfId="0" applyFont="1" applyFill="1" applyBorder="1" applyAlignment="1">
      <alignment horizontal="center" vertical="top" wrapText="1"/>
    </xf>
    <xf numFmtId="0" fontId="3" fillId="18" borderId="6" xfId="0" applyFont="1" applyFill="1" applyBorder="1" applyAlignment="1">
      <alignment horizontal="center" vertical="top"/>
    </xf>
    <xf numFmtId="0" fontId="24" fillId="0" borderId="6" xfId="0" applyFont="1" applyBorder="1" applyAlignment="1">
      <alignment vertical="top"/>
    </xf>
    <xf numFmtId="0" fontId="24" fillId="0" borderId="6" xfId="0" applyFont="1" applyBorder="1" applyAlignment="1">
      <alignment vertical="top" wrapText="1"/>
    </xf>
    <xf numFmtId="164" fontId="24" fillId="0" borderId="6" xfId="1" applyNumberFormat="1" applyFont="1" applyBorder="1" applyAlignment="1">
      <alignment vertical="top"/>
    </xf>
    <xf numFmtId="0" fontId="24" fillId="0" borderId="6" xfId="0" applyFont="1" applyBorder="1" applyAlignment="1">
      <alignment horizontal="center" vertical="top"/>
    </xf>
    <xf numFmtId="1" fontId="24" fillId="0" borderId="6" xfId="0" applyNumberFormat="1" applyFont="1" applyBorder="1" applyAlignment="1">
      <alignment horizontal="center" vertical="top"/>
    </xf>
    <xf numFmtId="0" fontId="24" fillId="14" borderId="0" xfId="0" applyFont="1" applyFill="1" applyAlignment="1">
      <alignment vertical="top"/>
    </xf>
    <xf numFmtId="0" fontId="24" fillId="14" borderId="0" xfId="0" applyFont="1" applyFill="1"/>
    <xf numFmtId="0" fontId="24" fillId="14" borderId="0" xfId="0" applyFont="1" applyFill="1" applyAlignment="1">
      <alignment wrapText="1"/>
    </xf>
    <xf numFmtId="0" fontId="4" fillId="14" borderId="0" xfId="0" applyFont="1" applyFill="1" applyAlignment="1">
      <alignment wrapText="1"/>
    </xf>
    <xf numFmtId="0" fontId="4" fillId="14" borderId="0" xfId="0" applyFont="1" applyFill="1"/>
    <xf numFmtId="164" fontId="4" fillId="14" borderId="0" xfId="0" applyNumberFormat="1" applyFont="1" applyFill="1"/>
    <xf numFmtId="0" fontId="4" fillId="14" borderId="0" xfId="0" applyFont="1" applyFill="1" applyAlignment="1">
      <alignment horizontal="center"/>
    </xf>
    <xf numFmtId="168" fontId="4" fillId="14" borderId="0" xfId="0" applyNumberFormat="1" applyFont="1" applyFill="1" applyAlignment="1">
      <alignment horizontal="center"/>
    </xf>
    <xf numFmtId="0" fontId="3" fillId="14" borderId="6" xfId="0" applyFont="1" applyFill="1" applyBorder="1" applyAlignment="1">
      <alignment vertical="top"/>
    </xf>
    <xf numFmtId="0" fontId="3" fillId="14" borderId="6" xfId="0" applyFont="1" applyFill="1" applyBorder="1" applyAlignment="1">
      <alignment vertical="top" wrapText="1"/>
    </xf>
    <xf numFmtId="0" fontId="3" fillId="14" borderId="6" xfId="0" applyFont="1" applyFill="1" applyBorder="1" applyAlignment="1">
      <alignment horizontal="center" vertical="top" wrapText="1"/>
    </xf>
    <xf numFmtId="0" fontId="3" fillId="2" borderId="15" xfId="0" applyFont="1" applyFill="1" applyBorder="1" applyAlignment="1">
      <alignment vertical="center"/>
    </xf>
    <xf numFmtId="0" fontId="3" fillId="2" borderId="16" xfId="0" applyFont="1" applyFill="1" applyBorder="1" applyAlignment="1">
      <alignment vertical="center" wrapText="1"/>
    </xf>
    <xf numFmtId="0" fontId="3" fillId="2" borderId="16" xfId="0" applyFont="1" applyFill="1" applyBorder="1" applyAlignment="1">
      <alignment vertical="center"/>
    </xf>
    <xf numFmtId="164" fontId="3" fillId="2" borderId="16" xfId="1" applyNumberFormat="1" applyFont="1" applyFill="1" applyBorder="1" applyAlignment="1">
      <alignment vertical="center"/>
    </xf>
    <xf numFmtId="164" fontId="3" fillId="2" borderId="17" xfId="1" applyNumberFormat="1" applyFont="1" applyFill="1" applyBorder="1" applyAlignment="1">
      <alignment vertical="center"/>
    </xf>
    <xf numFmtId="0" fontId="0" fillId="2" borderId="16" xfId="0" applyFill="1" applyBorder="1" applyAlignment="1">
      <alignment vertical="center" wrapText="1"/>
    </xf>
    <xf numFmtId="0" fontId="23" fillId="0" borderId="0" xfId="0" applyFont="1" applyAlignment="1">
      <alignment vertical="top"/>
    </xf>
    <xf numFmtId="0" fontId="3" fillId="18" borderId="1" xfId="0" applyFont="1" applyFill="1" applyBorder="1" applyAlignment="1">
      <alignment vertical="top"/>
    </xf>
    <xf numFmtId="0" fontId="3" fillId="18" borderId="2" xfId="0" applyFont="1" applyFill="1" applyBorder="1" applyAlignment="1">
      <alignment vertical="top" wrapText="1"/>
    </xf>
    <xf numFmtId="0" fontId="3" fillId="18" borderId="2" xfId="0" applyFont="1" applyFill="1" applyBorder="1" applyAlignment="1">
      <alignment vertical="top"/>
    </xf>
    <xf numFmtId="0" fontId="3" fillId="18" borderId="2" xfId="0" applyFont="1" applyFill="1" applyBorder="1" applyAlignment="1">
      <alignment horizontal="center" vertical="top" wrapText="1"/>
    </xf>
    <xf numFmtId="0" fontId="3" fillId="18" borderId="4" xfId="0" applyFont="1" applyFill="1" applyBorder="1" applyAlignment="1">
      <alignment horizontal="center" vertical="top" wrapText="1"/>
    </xf>
    <xf numFmtId="0" fontId="0" fillId="0" borderId="6" xfId="0" applyFont="1" applyBorder="1" applyAlignment="1">
      <alignment vertical="top" wrapText="1"/>
    </xf>
    <xf numFmtId="0" fontId="0" fillId="19" borderId="48" xfId="0" applyFont="1" applyFill="1" applyBorder="1" applyAlignment="1">
      <alignment vertical="top"/>
    </xf>
    <xf numFmtId="0" fontId="0" fillId="19" borderId="48" xfId="0" applyFont="1" applyFill="1" applyBorder="1" applyAlignment="1">
      <alignment vertical="top" wrapText="1"/>
    </xf>
    <xf numFmtId="169" fontId="0" fillId="20" borderId="48" xfId="0" applyNumberFormat="1" applyFont="1" applyFill="1" applyBorder="1" applyAlignment="1">
      <alignment horizontal="center" vertical="top"/>
    </xf>
    <xf numFmtId="0" fontId="0" fillId="20" borderId="48" xfId="0" applyFont="1" applyFill="1" applyBorder="1" applyAlignment="1">
      <alignment horizontal="center" vertical="top"/>
    </xf>
    <xf numFmtId="169" fontId="0" fillId="21" borderId="48" xfId="0" applyNumberFormat="1" applyFont="1" applyFill="1" applyBorder="1" applyAlignment="1">
      <alignment horizontal="center" vertical="top"/>
    </xf>
    <xf numFmtId="169" fontId="0" fillId="0" borderId="48" xfId="0" applyNumberFormat="1" applyFont="1" applyBorder="1" applyAlignment="1">
      <alignment horizontal="center" vertical="top"/>
    </xf>
    <xf numFmtId="0" fontId="0" fillId="0" borderId="49" xfId="0" applyFont="1" applyBorder="1" applyAlignment="1">
      <alignment horizontal="center" vertical="top" wrapText="1"/>
    </xf>
    <xf numFmtId="0" fontId="0" fillId="0" borderId="0" xfId="0" applyFont="1" applyAlignment="1"/>
    <xf numFmtId="0" fontId="25" fillId="19" borderId="48" xfId="0" applyFont="1" applyFill="1" applyBorder="1" applyAlignment="1">
      <alignment vertical="top"/>
    </xf>
    <xf numFmtId="0" fontId="25" fillId="19" borderId="48" xfId="0" applyFont="1" applyFill="1" applyBorder="1" applyAlignment="1">
      <alignment vertical="top" wrapText="1"/>
    </xf>
    <xf numFmtId="3" fontId="25" fillId="20" borderId="48" xfId="0" applyNumberFormat="1" applyFont="1" applyFill="1" applyBorder="1" applyAlignment="1">
      <alignment horizontal="center" vertical="top"/>
    </xf>
    <xf numFmtId="0" fontId="25" fillId="20" borderId="48" xfId="0" applyFont="1" applyFill="1" applyBorder="1" applyAlignment="1">
      <alignment horizontal="center" vertical="top"/>
    </xf>
    <xf numFmtId="169" fontId="25" fillId="21" borderId="48" xfId="0" applyNumberFormat="1" applyFont="1" applyFill="1" applyBorder="1" applyAlignment="1">
      <alignment horizontal="center" vertical="top"/>
    </xf>
    <xf numFmtId="169" fontId="25" fillId="0" borderId="48" xfId="0" applyNumberFormat="1" applyFont="1" applyBorder="1" applyAlignment="1">
      <alignment horizontal="center" vertical="top"/>
    </xf>
    <xf numFmtId="0" fontId="25" fillId="0" borderId="42" xfId="0" applyFont="1" applyBorder="1" applyAlignment="1">
      <alignment horizontal="center" vertical="top" wrapText="1"/>
    </xf>
    <xf numFmtId="0" fontId="3" fillId="13" borderId="9" xfId="0" applyFont="1" applyFill="1" applyBorder="1"/>
    <xf numFmtId="0" fontId="3" fillId="13" borderId="0" xfId="0" applyFont="1" applyFill="1" applyBorder="1"/>
    <xf numFmtId="164" fontId="3" fillId="13" borderId="0" xfId="0" applyNumberFormat="1" applyFont="1" applyFill="1" applyBorder="1"/>
    <xf numFmtId="164" fontId="3" fillId="13" borderId="42" xfId="0" applyNumberFormat="1" applyFont="1" applyFill="1" applyBorder="1"/>
    <xf numFmtId="14" fontId="20" fillId="0" borderId="0" xfId="0" quotePrefix="1" applyNumberFormat="1" applyFont="1" applyAlignment="1">
      <alignment horizontal="center" vertical="center"/>
    </xf>
    <xf numFmtId="0" fontId="20" fillId="0" borderId="0" xfId="0" applyFont="1" applyAlignment="1">
      <alignment horizontal="center" vertical="center"/>
    </xf>
    <xf numFmtId="14" fontId="20"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29" fillId="0" borderId="0" xfId="0" applyFont="1"/>
    <xf numFmtId="0" fontId="27" fillId="0" borderId="0" xfId="0" applyFont="1" applyAlignment="1"/>
    <xf numFmtId="0" fontId="28" fillId="0" borderId="0" xfId="0" applyFont="1" applyAlignment="1"/>
    <xf numFmtId="164" fontId="3" fillId="2" borderId="0" xfId="1" applyNumberFormat="1" applyFont="1" applyFill="1" applyAlignment="1">
      <alignment vertical="center"/>
    </xf>
    <xf numFmtId="16" fontId="31" fillId="2" borderId="0" xfId="0" quotePrefix="1" applyNumberFormat="1" applyFont="1" applyFill="1" applyBorder="1" applyAlignment="1">
      <alignment horizontal="center" vertical="center"/>
    </xf>
    <xf numFmtId="0" fontId="31"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9" fillId="2" borderId="0" xfId="0" applyFont="1" applyFill="1" applyBorder="1"/>
    <xf numFmtId="0" fontId="8" fillId="2" borderId="0" xfId="0" applyFont="1" applyFill="1" applyBorder="1"/>
    <xf numFmtId="0" fontId="0" fillId="2" borderId="26" xfId="0" applyFill="1" applyBorder="1"/>
    <xf numFmtId="0" fontId="8" fillId="2" borderId="29" xfId="0" applyFont="1" applyFill="1" applyBorder="1" applyAlignment="1">
      <alignment vertical="center"/>
    </xf>
    <xf numFmtId="0" fontId="8" fillId="10" borderId="29" xfId="0" applyFont="1" applyFill="1" applyBorder="1" applyAlignment="1">
      <alignment vertical="center" wrapText="1"/>
    </xf>
    <xf numFmtId="0" fontId="31" fillId="10" borderId="0" xfId="0" applyFont="1" applyFill="1" applyBorder="1" applyAlignment="1">
      <alignment horizontal="center" vertical="center"/>
    </xf>
    <xf numFmtId="0" fontId="32" fillId="10" borderId="0" xfId="0" applyFont="1" applyFill="1" applyBorder="1" applyAlignment="1">
      <alignment horizontal="center" vertical="center"/>
    </xf>
    <xf numFmtId="0" fontId="9" fillId="10" borderId="0" xfId="0" applyFont="1" applyFill="1" applyBorder="1"/>
    <xf numFmtId="0" fontId="8" fillId="10" borderId="0" xfId="0" applyFont="1" applyFill="1" applyBorder="1"/>
    <xf numFmtId="0" fontId="0" fillId="10" borderId="26" xfId="0" applyFill="1" applyBorder="1"/>
    <xf numFmtId="0" fontId="31" fillId="10" borderId="0" xfId="0" quotePrefix="1" applyNumberFormat="1" applyFont="1" applyFill="1" applyBorder="1" applyAlignment="1">
      <alignment horizontal="center" vertical="center"/>
    </xf>
    <xf numFmtId="164" fontId="3" fillId="9" borderId="6" xfId="1" applyNumberFormat="1" applyFont="1" applyFill="1" applyBorder="1" applyAlignment="1">
      <alignment horizontal="center" vertical="top" wrapText="1"/>
    </xf>
    <xf numFmtId="0" fontId="3" fillId="2" borderId="16" xfId="0" applyFont="1" applyFill="1" applyBorder="1" applyAlignment="1">
      <alignment horizontal="center" vertical="center" wrapText="1"/>
    </xf>
    <xf numFmtId="0" fontId="0" fillId="0" borderId="6" xfId="0" applyFill="1" applyBorder="1" applyAlignment="1">
      <alignment horizontal="center" vertical="top" wrapText="1"/>
    </xf>
    <xf numFmtId="0" fontId="0" fillId="4" borderId="6" xfId="0" applyFill="1" applyBorder="1" applyAlignment="1">
      <alignment horizontal="center" vertical="top" wrapText="1"/>
    </xf>
    <xf numFmtId="0" fontId="0" fillId="2" borderId="6" xfId="0" applyFill="1" applyBorder="1" applyAlignment="1">
      <alignment horizontal="center" vertical="top" wrapText="1"/>
    </xf>
    <xf numFmtId="0" fontId="0" fillId="0" borderId="6" xfId="0" applyFill="1" applyBorder="1" applyAlignment="1">
      <alignment horizontal="center" vertical="top"/>
    </xf>
    <xf numFmtId="0" fontId="0" fillId="4" borderId="6" xfId="0" applyFill="1" applyBorder="1" applyAlignment="1">
      <alignment horizontal="center" vertical="top"/>
    </xf>
    <xf numFmtId="0" fontId="3" fillId="2" borderId="6" xfId="0" applyFont="1" applyFill="1" applyBorder="1" applyAlignment="1">
      <alignment horizontal="center" vertical="center"/>
    </xf>
    <xf numFmtId="0" fontId="0" fillId="2" borderId="6" xfId="0" applyFill="1" applyBorder="1" applyAlignment="1">
      <alignment horizontal="center" vertical="center"/>
    </xf>
    <xf numFmtId="0" fontId="3" fillId="0" borderId="6" xfId="0" applyFont="1" applyBorder="1" applyAlignment="1">
      <alignment horizontal="center" vertical="center"/>
    </xf>
    <xf numFmtId="0" fontId="3" fillId="2" borderId="16" xfId="0" applyFont="1" applyFill="1" applyBorder="1" applyAlignment="1">
      <alignment horizontal="center" vertical="center"/>
    </xf>
    <xf numFmtId="0" fontId="3" fillId="2" borderId="0" xfId="0" applyFont="1" applyFill="1" applyAlignment="1">
      <alignment horizontal="center" vertical="center"/>
    </xf>
    <xf numFmtId="0" fontId="3" fillId="2" borderId="24" xfId="0" applyFont="1" applyFill="1" applyBorder="1" applyAlignment="1">
      <alignment horizontal="center" vertical="center"/>
    </xf>
    <xf numFmtId="0" fontId="0" fillId="17" borderId="6" xfId="0" applyFill="1" applyBorder="1" applyAlignment="1">
      <alignment horizontal="center" vertical="top" wrapText="1"/>
    </xf>
    <xf numFmtId="0" fontId="3" fillId="4" borderId="6" xfId="0" applyFont="1" applyFill="1" applyBorder="1" applyAlignment="1">
      <alignment horizontal="center" vertical="top" wrapText="1"/>
    </xf>
    <xf numFmtId="0" fontId="0" fillId="4" borderId="0" xfId="0" applyFill="1" applyAlignment="1">
      <alignment horizontal="center" wrapText="1"/>
    </xf>
    <xf numFmtId="0" fontId="0" fillId="17" borderId="6" xfId="0" applyFill="1" applyBorder="1" applyAlignment="1">
      <alignment horizontal="center" vertical="top"/>
    </xf>
    <xf numFmtId="0" fontId="3" fillId="4" borderId="6" xfId="0" applyFont="1" applyFill="1" applyBorder="1" applyAlignment="1">
      <alignment horizontal="center" vertical="top"/>
    </xf>
    <xf numFmtId="0" fontId="3" fillId="4" borderId="6" xfId="0" applyFont="1" applyFill="1" applyBorder="1" applyAlignment="1">
      <alignment horizontal="center" vertical="center"/>
    </xf>
    <xf numFmtId="0" fontId="4" fillId="4" borderId="6"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top"/>
    </xf>
    <xf numFmtId="0" fontId="24" fillId="0" borderId="6" xfId="0" applyFont="1" applyBorder="1" applyAlignment="1">
      <alignment horizontal="center" vertical="top" wrapText="1"/>
    </xf>
    <xf numFmtId="0" fontId="24" fillId="14" borderId="0" xfId="0" applyFont="1" applyFill="1" applyAlignment="1">
      <alignment horizontal="center" wrapText="1"/>
    </xf>
    <xf numFmtId="0" fontId="3" fillId="14" borderId="6" xfId="0" applyFont="1" applyFill="1" applyBorder="1" applyAlignment="1">
      <alignment horizontal="center" vertical="top"/>
    </xf>
    <xf numFmtId="0" fontId="31" fillId="2" borderId="0" xfId="0" quotePrefix="1" applyFont="1" applyFill="1" applyBorder="1" applyAlignment="1">
      <alignment horizontal="center" vertical="center"/>
    </xf>
    <xf numFmtId="0" fontId="9" fillId="14" borderId="9" xfId="0" applyFont="1" applyFill="1" applyBorder="1"/>
    <xf numFmtId="164" fontId="1" fillId="14" borderId="0" xfId="1" applyNumberFormat="1" applyFont="1" applyFill="1" applyBorder="1"/>
    <xf numFmtId="0" fontId="0" fillId="14" borderId="42" xfId="0" applyFill="1" applyBorder="1"/>
    <xf numFmtId="0" fontId="0" fillId="17" borderId="11" xfId="0" applyFill="1" applyBorder="1"/>
    <xf numFmtId="2" fontId="0" fillId="17" borderId="12" xfId="0" applyNumberFormat="1" applyFill="1" applyBorder="1"/>
    <xf numFmtId="0" fontId="0" fillId="17" borderId="12" xfId="0" applyFill="1" applyBorder="1"/>
    <xf numFmtId="0" fontId="0" fillId="10" borderId="18" xfId="0" applyFill="1" applyBorder="1"/>
    <xf numFmtId="164" fontId="0" fillId="8" borderId="42" xfId="1" applyNumberFormat="1" applyFont="1" applyFill="1" applyBorder="1"/>
    <xf numFmtId="165" fontId="0" fillId="8" borderId="42" xfId="2" applyNumberFormat="1" applyFont="1" applyFill="1" applyBorder="1"/>
    <xf numFmtId="164" fontId="3" fillId="10" borderId="47" xfId="0" applyNumberFormat="1" applyFont="1" applyFill="1" applyBorder="1"/>
    <xf numFmtId="0" fontId="0" fillId="10" borderId="9" xfId="0" applyFill="1" applyBorder="1"/>
    <xf numFmtId="0" fontId="3" fillId="10" borderId="9" xfId="0" applyFont="1" applyFill="1" applyBorder="1"/>
    <xf numFmtId="0" fontId="3" fillId="10" borderId="39" xfId="0" applyFont="1" applyFill="1" applyBorder="1" applyAlignment="1"/>
    <xf numFmtId="0" fontId="3" fillId="9" borderId="11" xfId="0" applyFont="1" applyFill="1" applyBorder="1" applyAlignment="1"/>
    <xf numFmtId="0" fontId="3" fillId="9" borderId="12" xfId="0" applyFont="1" applyFill="1" applyBorder="1" applyAlignment="1"/>
    <xf numFmtId="0" fontId="0" fillId="9" borderId="12" xfId="0" applyFill="1" applyBorder="1" applyAlignment="1"/>
    <xf numFmtId="0" fontId="3" fillId="5" borderId="11" xfId="0" applyFont="1" applyFill="1" applyBorder="1" applyAlignment="1"/>
    <xf numFmtId="0" fontId="3" fillId="5" borderId="12" xfId="0" applyFont="1" applyFill="1" applyBorder="1" applyAlignment="1"/>
    <xf numFmtId="0" fontId="0" fillId="5" borderId="12" xfId="0" applyFill="1" applyBorder="1" applyAlignment="1"/>
    <xf numFmtId="0" fontId="3" fillId="9" borderId="13" xfId="0" quotePrefix="1" applyFont="1" applyFill="1" applyBorder="1" applyAlignment="1">
      <alignment horizontal="center"/>
    </xf>
    <xf numFmtId="0" fontId="3" fillId="5" borderId="13" xfId="0" applyFont="1" applyFill="1" applyBorder="1" applyAlignment="1">
      <alignment horizontal="center"/>
    </xf>
    <xf numFmtId="0" fontId="3" fillId="24" borderId="29" xfId="0" applyFont="1" applyFill="1" applyBorder="1" applyAlignment="1"/>
    <xf numFmtId="0" fontId="3" fillId="24" borderId="18" xfId="0" applyFont="1" applyFill="1" applyBorder="1" applyAlignment="1"/>
    <xf numFmtId="0" fontId="0" fillId="10" borderId="40" xfId="0" applyFill="1" applyBorder="1"/>
    <xf numFmtId="0" fontId="3" fillId="10" borderId="41" xfId="0" applyFont="1" applyFill="1" applyBorder="1" applyAlignment="1"/>
    <xf numFmtId="164" fontId="3" fillId="9" borderId="52" xfId="1" applyNumberFormat="1" applyFont="1" applyFill="1" applyBorder="1" applyAlignment="1"/>
    <xf numFmtId="164" fontId="3" fillId="5" borderId="52" xfId="1" applyNumberFormat="1" applyFont="1" applyFill="1" applyBorder="1" applyAlignment="1"/>
    <xf numFmtId="9" fontId="3" fillId="17" borderId="13" xfId="0" applyNumberFormat="1" applyFont="1" applyFill="1" applyBorder="1" applyAlignment="1">
      <alignment horizontal="center"/>
    </xf>
    <xf numFmtId="164" fontId="3" fillId="17" borderId="52" xfId="1" applyNumberFormat="1" applyFont="1" applyFill="1" applyBorder="1"/>
    <xf numFmtId="0" fontId="3" fillId="14" borderId="42" xfId="0" quotePrefix="1" applyFont="1" applyFill="1" applyBorder="1"/>
    <xf numFmtId="0" fontId="4" fillId="10" borderId="46" xfId="0" applyFont="1" applyFill="1" applyBorder="1"/>
    <xf numFmtId="0" fontId="9" fillId="10" borderId="9" xfId="0" applyFont="1" applyFill="1" applyBorder="1"/>
    <xf numFmtId="164" fontId="2" fillId="10" borderId="0" xfId="1" applyNumberFormat="1" applyFont="1" applyFill="1" applyBorder="1"/>
    <xf numFmtId="164" fontId="0" fillId="10" borderId="42" xfId="0" applyNumberFormat="1" applyFill="1" applyBorder="1"/>
    <xf numFmtId="0" fontId="3" fillId="10" borderId="9" xfId="0" quotePrefix="1" applyFont="1" applyFill="1" applyBorder="1"/>
    <xf numFmtId="164" fontId="33" fillId="10" borderId="0" xfId="1" applyNumberFormat="1" applyFont="1" applyFill="1" applyBorder="1"/>
    <xf numFmtId="164" fontId="2" fillId="10" borderId="42" xfId="1" applyNumberFormat="1" applyFont="1" applyFill="1" applyBorder="1"/>
    <xf numFmtId="0" fontId="9" fillId="10" borderId="25" xfId="0" applyFont="1" applyFill="1" applyBorder="1"/>
    <xf numFmtId="0" fontId="0" fillId="10" borderId="11" xfId="0" applyFill="1" applyBorder="1"/>
    <xf numFmtId="9" fontId="3" fillId="10" borderId="13" xfId="0" quotePrefix="1" applyNumberFormat="1" applyFont="1" applyFill="1" applyBorder="1" applyAlignment="1">
      <alignment horizontal="center"/>
    </xf>
    <xf numFmtId="2" fontId="0" fillId="10" borderId="12" xfId="0" applyNumberFormat="1" applyFill="1" applyBorder="1"/>
    <xf numFmtId="164" fontId="3" fillId="10" borderId="52" xfId="1" applyNumberFormat="1" applyFont="1" applyFill="1" applyBorder="1"/>
    <xf numFmtId="44" fontId="0" fillId="0" borderId="0" xfId="0" applyNumberFormat="1"/>
    <xf numFmtId="0" fontId="0" fillId="0" borderId="7" xfId="1" applyNumberFormat="1" applyFont="1" applyBorder="1" applyAlignment="1">
      <alignment horizontal="center" vertical="top"/>
    </xf>
    <xf numFmtId="164" fontId="0" fillId="14" borderId="7" xfId="1" applyNumberFormat="1" applyFont="1" applyFill="1" applyBorder="1" applyAlignment="1">
      <alignment vertical="top"/>
    </xf>
    <xf numFmtId="0" fontId="0" fillId="14" borderId="8" xfId="0" applyFill="1" applyBorder="1" applyAlignment="1">
      <alignment vertical="top" wrapText="1"/>
    </xf>
    <xf numFmtId="164" fontId="3" fillId="14" borderId="7" xfId="1" applyNumberFormat="1" applyFont="1" applyFill="1" applyBorder="1" applyAlignment="1">
      <alignment vertical="center"/>
    </xf>
    <xf numFmtId="0" fontId="3" fillId="14" borderId="8" xfId="0" applyFont="1" applyFill="1" applyBorder="1" applyAlignment="1">
      <alignment vertical="center" wrapText="1"/>
    </xf>
    <xf numFmtId="164" fontId="3" fillId="14" borderId="17" xfId="1" applyNumberFormat="1" applyFont="1" applyFill="1" applyBorder="1" applyAlignment="1">
      <alignment vertical="center"/>
    </xf>
    <xf numFmtId="0" fontId="0" fillId="14" borderId="16" xfId="0" applyFill="1" applyBorder="1" applyAlignment="1">
      <alignment vertical="center" wrapText="1"/>
    </xf>
    <xf numFmtId="0" fontId="3" fillId="14" borderId="3" xfId="0" applyFont="1" applyFill="1" applyBorder="1" applyAlignment="1">
      <alignment horizontal="center" vertical="top" wrapText="1"/>
    </xf>
    <xf numFmtId="0" fontId="3" fillId="14" borderId="4" xfId="0" applyFont="1" applyFill="1" applyBorder="1" applyAlignment="1">
      <alignment horizontal="center" vertical="top" wrapText="1"/>
    </xf>
    <xf numFmtId="0" fontId="3" fillId="0" borderId="4" xfId="0" applyFont="1" applyBorder="1" applyAlignment="1">
      <alignment horizontal="center" vertical="top" wrapText="1"/>
    </xf>
    <xf numFmtId="164" fontId="3" fillId="2" borderId="0" xfId="0" applyNumberFormat="1" applyFont="1" applyFill="1"/>
    <xf numFmtId="0" fontId="0" fillId="14" borderId="6" xfId="0" applyFill="1" applyBorder="1" applyAlignment="1">
      <alignment vertical="top" wrapText="1"/>
    </xf>
    <xf numFmtId="0" fontId="0" fillId="14" borderId="6" xfId="0" applyFill="1" applyBorder="1" applyAlignment="1">
      <alignment vertical="top"/>
    </xf>
    <xf numFmtId="164" fontId="0" fillId="14" borderId="6" xfId="1" applyNumberFormat="1" applyFont="1" applyFill="1" applyBorder="1" applyAlignment="1">
      <alignment vertical="top"/>
    </xf>
    <xf numFmtId="0" fontId="0" fillId="14" borderId="14" xfId="0" applyFill="1" applyBorder="1" applyAlignment="1">
      <alignment horizontal="center" vertical="top" wrapText="1"/>
    </xf>
    <xf numFmtId="0" fontId="0" fillId="25" borderId="5" xfId="0" applyFill="1" applyBorder="1" applyAlignment="1">
      <alignment vertical="top"/>
    </xf>
    <xf numFmtId="0" fontId="0" fillId="25" borderId="6" xfId="0" applyFill="1" applyBorder="1" applyAlignment="1">
      <alignment vertical="top" wrapText="1"/>
    </xf>
    <xf numFmtId="0" fontId="0" fillId="25" borderId="6" xfId="0" applyFill="1" applyBorder="1" applyAlignment="1">
      <alignment vertical="top"/>
    </xf>
    <xf numFmtId="0" fontId="0" fillId="25" borderId="6" xfId="0" applyFill="1" applyBorder="1" applyAlignment="1">
      <alignment horizontal="center" vertical="top" wrapText="1"/>
    </xf>
    <xf numFmtId="0" fontId="0" fillId="25" borderId="6" xfId="0" applyFill="1" applyBorder="1" applyAlignment="1">
      <alignment horizontal="center" vertical="top"/>
    </xf>
    <xf numFmtId="164" fontId="0" fillId="25" borderId="6" xfId="1" applyNumberFormat="1" applyFont="1" applyFill="1" applyBorder="1" applyAlignment="1">
      <alignment vertical="top"/>
    </xf>
    <xf numFmtId="164" fontId="0" fillId="25" borderId="7" xfId="1" applyNumberFormat="1" applyFont="1" applyFill="1" applyBorder="1" applyAlignment="1">
      <alignment vertical="top"/>
    </xf>
    <xf numFmtId="0" fontId="0" fillId="25" borderId="14" xfId="0" applyFill="1" applyBorder="1" applyAlignment="1">
      <alignment horizontal="center" vertical="top" wrapText="1"/>
    </xf>
    <xf numFmtId="0" fontId="3" fillId="14" borderId="2" xfId="0" applyFont="1" applyFill="1" applyBorder="1" applyAlignment="1">
      <alignment horizontal="center" vertical="top" wrapText="1"/>
    </xf>
    <xf numFmtId="0" fontId="3" fillId="14" borderId="11" xfId="0" applyFont="1" applyFill="1" applyBorder="1" applyAlignment="1">
      <alignment horizontal="center" vertical="top" wrapText="1"/>
    </xf>
    <xf numFmtId="164" fontId="3" fillId="14" borderId="6" xfId="1" applyNumberFormat="1" applyFont="1" applyFill="1" applyBorder="1" applyAlignment="1">
      <alignment vertical="center"/>
    </xf>
    <xf numFmtId="0" fontId="0" fillId="14" borderId="13" xfId="0" applyFill="1" applyBorder="1" applyAlignment="1">
      <alignment horizontal="center" vertical="center" wrapText="1"/>
    </xf>
    <xf numFmtId="0" fontId="0" fillId="14" borderId="8" xfId="0" applyFill="1" applyBorder="1" applyAlignment="1">
      <alignment horizontal="center" vertical="top" wrapText="1"/>
    </xf>
    <xf numFmtId="164" fontId="3" fillId="14" borderId="7" xfId="1" applyNumberFormat="1" applyFont="1" applyFill="1" applyBorder="1" applyAlignment="1">
      <alignment horizontal="center" vertical="center"/>
    </xf>
    <xf numFmtId="0" fontId="0" fillId="14" borderId="7" xfId="0" applyFill="1" applyBorder="1" applyAlignment="1">
      <alignment horizontal="center" vertical="top"/>
    </xf>
    <xf numFmtId="164" fontId="0" fillId="14" borderId="7" xfId="1" applyNumberFormat="1" applyFont="1" applyFill="1" applyBorder="1" applyAlignment="1">
      <alignment horizontal="center" vertical="top"/>
    </xf>
    <xf numFmtId="0" fontId="0" fillId="14" borderId="7" xfId="0" applyFill="1" applyBorder="1" applyAlignment="1">
      <alignment horizontal="center" vertical="top" wrapText="1"/>
    </xf>
    <xf numFmtId="164" fontId="3" fillId="14" borderId="22" xfId="1" applyNumberFormat="1" applyFont="1" applyFill="1" applyBorder="1" applyAlignment="1">
      <alignment horizontal="center" vertical="center"/>
    </xf>
    <xf numFmtId="0" fontId="0" fillId="14" borderId="19" xfId="0" applyFill="1" applyBorder="1" applyAlignment="1">
      <alignment horizontal="center" vertical="center" wrapText="1"/>
    </xf>
    <xf numFmtId="164" fontId="4" fillId="14" borderId="6" xfId="1" applyNumberFormat="1" applyFont="1" applyFill="1" applyBorder="1" applyAlignment="1">
      <alignment wrapText="1"/>
    </xf>
    <xf numFmtId="0" fontId="3" fillId="14" borderId="6" xfId="0" applyFont="1" applyFill="1" applyBorder="1" applyAlignment="1">
      <alignment wrapText="1"/>
    </xf>
    <xf numFmtId="164" fontId="3" fillId="14" borderId="0" xfId="1" applyNumberFormat="1" applyFont="1" applyFill="1" applyAlignment="1">
      <alignment vertical="center"/>
    </xf>
    <xf numFmtId="0" fontId="3" fillId="14" borderId="0" xfId="0" applyFont="1" applyFill="1" applyAlignment="1">
      <alignment vertical="center" wrapText="1"/>
    </xf>
    <xf numFmtId="0" fontId="3" fillId="14" borderId="2" xfId="0" applyFont="1" applyFill="1" applyBorder="1" applyAlignment="1">
      <alignment vertical="top" wrapText="1"/>
    </xf>
    <xf numFmtId="0" fontId="0" fillId="14" borderId="8" xfId="0" applyFill="1" applyBorder="1" applyAlignment="1">
      <alignment horizontal="center" vertical="top"/>
    </xf>
    <xf numFmtId="169" fontId="0" fillId="14" borderId="48" xfId="0" applyNumberFormat="1" applyFont="1" applyFill="1" applyBorder="1" applyAlignment="1">
      <alignment horizontal="center" vertical="top"/>
    </xf>
    <xf numFmtId="0" fontId="0" fillId="14" borderId="49" xfId="0" applyFont="1" applyFill="1" applyBorder="1" applyAlignment="1">
      <alignment horizontal="center" vertical="top" wrapText="1"/>
    </xf>
    <xf numFmtId="169" fontId="25" fillId="14" borderId="48" xfId="0" applyNumberFormat="1" applyFont="1" applyFill="1" applyBorder="1" applyAlignment="1">
      <alignment horizontal="center" vertical="top"/>
    </xf>
    <xf numFmtId="0" fontId="25" fillId="14" borderId="42" xfId="0" applyFont="1" applyFill="1" applyBorder="1" applyAlignment="1">
      <alignment horizontal="center" vertical="top" wrapText="1"/>
    </xf>
    <xf numFmtId="164" fontId="3" fillId="14" borderId="26" xfId="0" applyNumberFormat="1" applyFont="1" applyFill="1" applyBorder="1"/>
    <xf numFmtId="0" fontId="3" fillId="14" borderId="50" xfId="0" applyFont="1" applyFill="1" applyBorder="1" applyAlignment="1">
      <alignment horizontal="center" vertical="top"/>
    </xf>
    <xf numFmtId="0" fontId="3" fillId="2" borderId="25" xfId="0" applyFont="1" applyFill="1" applyBorder="1" applyAlignment="1">
      <alignment vertical="top"/>
    </xf>
    <xf numFmtId="0" fontId="3" fillId="2" borderId="26" xfId="0" applyFont="1" applyFill="1" applyBorder="1" applyAlignment="1">
      <alignment wrapText="1"/>
    </xf>
    <xf numFmtId="0" fontId="3" fillId="2" borderId="26" xfId="0" applyFont="1" applyFill="1" applyBorder="1"/>
    <xf numFmtId="0" fontId="3" fillId="2" borderId="26" xfId="0" applyFont="1" applyFill="1" applyBorder="1" applyAlignment="1">
      <alignment horizontal="center"/>
    </xf>
    <xf numFmtId="164" fontId="3" fillId="2" borderId="26" xfId="0" applyNumberFormat="1" applyFont="1" applyFill="1" applyBorder="1"/>
    <xf numFmtId="0" fontId="3" fillId="2" borderId="50" xfId="0" applyFont="1" applyFill="1" applyBorder="1" applyAlignment="1">
      <alignment horizontal="center" vertical="top"/>
    </xf>
    <xf numFmtId="0" fontId="0" fillId="14" borderId="6" xfId="1" applyNumberFormat="1" applyFont="1" applyFill="1" applyBorder="1" applyAlignment="1">
      <alignment vertical="top"/>
    </xf>
    <xf numFmtId="0" fontId="3" fillId="2" borderId="6" xfId="0" applyFont="1" applyFill="1" applyBorder="1" applyAlignment="1">
      <alignment vertical="center" wrapText="1"/>
    </xf>
    <xf numFmtId="0" fontId="3" fillId="2" borderId="6" xfId="0" applyFont="1" applyFill="1" applyBorder="1" applyAlignment="1">
      <alignment vertical="center"/>
    </xf>
    <xf numFmtId="0" fontId="3" fillId="2" borderId="6" xfId="0" applyFont="1" applyFill="1" applyBorder="1" applyAlignment="1">
      <alignment horizontal="center" vertical="center" wrapText="1"/>
    </xf>
    <xf numFmtId="0" fontId="3" fillId="2" borderId="6" xfId="0" applyFont="1" applyFill="1" applyBorder="1" applyAlignment="1">
      <alignment horizontal="right" vertical="center"/>
    </xf>
    <xf numFmtId="164" fontId="3" fillId="2" borderId="7" xfId="1" applyNumberFormat="1" applyFont="1" applyFill="1" applyBorder="1" applyAlignment="1">
      <alignment vertical="center"/>
    </xf>
    <xf numFmtId="0" fontId="3" fillId="2" borderId="7" xfId="0" applyFont="1" applyFill="1" applyBorder="1" applyAlignment="1">
      <alignment horizontal="center" vertical="center"/>
    </xf>
    <xf numFmtId="0" fontId="3" fillId="2" borderId="5" xfId="0" applyFont="1" applyFill="1" applyBorder="1" applyAlignment="1">
      <alignment vertical="center"/>
    </xf>
    <xf numFmtId="0" fontId="0" fillId="14" borderId="8" xfId="0" applyFill="1" applyBorder="1" applyAlignment="1">
      <alignment vertical="top"/>
    </xf>
    <xf numFmtId="164" fontId="0" fillId="14" borderId="6" xfId="1" applyNumberFormat="1" applyFont="1" applyFill="1" applyBorder="1" applyAlignment="1">
      <alignment vertical="top" wrapText="1"/>
    </xf>
    <xf numFmtId="0" fontId="3" fillId="14" borderId="8" xfId="0" applyFont="1" applyFill="1" applyBorder="1" applyAlignment="1">
      <alignment vertical="center"/>
    </xf>
    <xf numFmtId="0" fontId="0" fillId="14" borderId="0" xfId="0" applyFill="1"/>
    <xf numFmtId="164" fontId="3" fillId="14" borderId="0" xfId="0" applyNumberFormat="1" applyFont="1" applyFill="1" applyAlignment="1">
      <alignment vertical="center"/>
    </xf>
    <xf numFmtId="0" fontId="3" fillId="14" borderId="0" xfId="0" applyFont="1" applyFill="1" applyAlignment="1">
      <alignment vertical="center"/>
    </xf>
    <xf numFmtId="164" fontId="24" fillId="14" borderId="6" xfId="1" applyNumberFormat="1" applyFont="1" applyFill="1" applyBorder="1" applyAlignment="1">
      <alignment vertical="top"/>
    </xf>
    <xf numFmtId="0" fontId="24" fillId="14" borderId="6" xfId="0" applyFont="1" applyFill="1" applyBorder="1" applyAlignment="1">
      <alignment horizontal="center" vertical="top"/>
    </xf>
    <xf numFmtId="164" fontId="3" fillId="14" borderId="0" xfId="1" applyNumberFormat="1" applyFont="1" applyFill="1"/>
    <xf numFmtId="164" fontId="3" fillId="14" borderId="0" xfId="0" applyNumberFormat="1" applyFont="1" applyFill="1"/>
    <xf numFmtId="0" fontId="3" fillId="2" borderId="0" xfId="0" applyFont="1" applyFill="1" applyAlignment="1">
      <alignment vertical="top"/>
    </xf>
    <xf numFmtId="0" fontId="3" fillId="2" borderId="0" xfId="0" applyFont="1" applyFill="1" applyAlignment="1">
      <alignment wrapText="1"/>
    </xf>
    <xf numFmtId="0" fontId="3" fillId="2" borderId="0" xfId="0" applyFont="1" applyFill="1"/>
    <xf numFmtId="0" fontId="3" fillId="2" borderId="0" xfId="0" applyFont="1" applyFill="1" applyAlignment="1">
      <alignment horizontal="center" vertical="top" wrapText="1"/>
    </xf>
    <xf numFmtId="0" fontId="3" fillId="2" borderId="0" xfId="0" applyFont="1" applyFill="1" applyAlignment="1">
      <alignment horizontal="center"/>
    </xf>
    <xf numFmtId="164" fontId="3" fillId="2" borderId="0" xfId="1" applyNumberFormat="1" applyFont="1" applyFill="1"/>
    <xf numFmtId="164" fontId="0" fillId="4" borderId="12" xfId="0" applyNumberFormat="1" applyFill="1" applyBorder="1"/>
    <xf numFmtId="165" fontId="0" fillId="4" borderId="12" xfId="0" applyNumberFormat="1" applyFill="1" applyBorder="1"/>
    <xf numFmtId="0" fontId="15" fillId="4" borderId="32" xfId="6" applyFont="1" applyFill="1" applyBorder="1" applyAlignment="1">
      <alignment horizontal="center" wrapText="1"/>
    </xf>
    <xf numFmtId="164" fontId="15" fillId="4" borderId="32" xfId="7" applyNumberFormat="1" applyFont="1" applyFill="1" applyBorder="1" applyAlignment="1">
      <alignment horizontal="center" wrapText="1"/>
    </xf>
    <xf numFmtId="0" fontId="15" fillId="4" borderId="33" xfId="6" applyFont="1" applyFill="1" applyBorder="1" applyAlignment="1">
      <alignment horizontal="center" wrapText="1"/>
    </xf>
    <xf numFmtId="0" fontId="15" fillId="4" borderId="32" xfId="6" applyFont="1" applyFill="1" applyBorder="1" applyAlignment="1">
      <alignment horizontal="center"/>
    </xf>
    <xf numFmtId="0" fontId="3" fillId="4" borderId="34" xfId="0" applyFont="1" applyFill="1" applyBorder="1" applyAlignment="1">
      <alignment wrapText="1"/>
    </xf>
    <xf numFmtId="0" fontId="0" fillId="0" borderId="54" xfId="0" applyBorder="1"/>
    <xf numFmtId="0" fontId="0" fillId="0" borderId="55" xfId="0" applyBorder="1"/>
    <xf numFmtId="165" fontId="0" fillId="4" borderId="53" xfId="0" applyNumberFormat="1" applyFill="1" applyBorder="1"/>
    <xf numFmtId="165" fontId="0" fillId="4" borderId="56" xfId="0" applyNumberFormat="1" applyFill="1" applyBorder="1"/>
    <xf numFmtId="0" fontId="3" fillId="4" borderId="57" xfId="0" applyFont="1" applyFill="1" applyBorder="1" applyAlignment="1">
      <alignment horizontal="center" wrapText="1"/>
    </xf>
    <xf numFmtId="0" fontId="34" fillId="0" borderId="30" xfId="6" applyFont="1" applyBorder="1" applyAlignment="1"/>
    <xf numFmtId="3" fontId="35" fillId="4" borderId="31" xfId="6" applyNumberFormat="1" applyFont="1" applyFill="1" applyBorder="1" applyAlignment="1">
      <alignment horizontal="center" vertical="center"/>
    </xf>
    <xf numFmtId="0" fontId="0" fillId="0" borderId="0" xfId="0" quotePrefix="1"/>
    <xf numFmtId="0" fontId="0" fillId="0" borderId="0" xfId="0" applyAlignment="1">
      <alignment horizontal="right"/>
    </xf>
    <xf numFmtId="0" fontId="0" fillId="0" borderId="0" xfId="0" applyAlignment="1">
      <alignment horizontal="left"/>
    </xf>
    <xf numFmtId="0" fontId="3" fillId="18" borderId="0" xfId="0" applyFont="1" applyFill="1" applyAlignment="1">
      <alignment horizontal="left"/>
    </xf>
    <xf numFmtId="0" fontId="3" fillId="18" borderId="0" xfId="0" applyFont="1" applyFill="1"/>
    <xf numFmtId="164" fontId="3" fillId="18" borderId="0" xfId="1" applyNumberFormat="1" applyFont="1" applyFill="1"/>
    <xf numFmtId="0" fontId="9" fillId="12" borderId="9" xfId="0" applyFont="1" applyFill="1" applyBorder="1"/>
    <xf numFmtId="0" fontId="30" fillId="23" borderId="51" xfId="10" applyFont="1" applyFill="1" applyAlignment="1">
      <alignment horizontal="center" vertical="center"/>
    </xf>
    <xf numFmtId="0" fontId="28" fillId="0" borderId="0" xfId="0"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165" fontId="3" fillId="24" borderId="29" xfId="2" applyNumberFormat="1" applyFont="1" applyFill="1" applyBorder="1" applyAlignment="1">
      <alignment horizontal="center"/>
    </xf>
    <xf numFmtId="165" fontId="3" fillId="24" borderId="18" xfId="2" applyNumberFormat="1" applyFont="1" applyFill="1" applyBorder="1" applyAlignment="1">
      <alignment horizontal="center"/>
    </xf>
    <xf numFmtId="1" fontId="0" fillId="24" borderId="0" xfId="0" applyNumberFormat="1" applyFill="1" applyBorder="1" applyAlignment="1">
      <alignment horizontal="right"/>
    </xf>
    <xf numFmtId="1" fontId="0" fillId="24" borderId="42" xfId="0" applyNumberFormat="1" applyFill="1" applyBorder="1" applyAlignment="1">
      <alignment horizontal="right"/>
    </xf>
    <xf numFmtId="0" fontId="3" fillId="10" borderId="46" xfId="0" applyFont="1" applyFill="1" applyBorder="1" applyAlignment="1">
      <alignment horizontal="center"/>
    </xf>
    <xf numFmtId="0" fontId="3" fillId="10" borderId="29" xfId="0" applyFont="1" applyFill="1" applyBorder="1" applyAlignment="1">
      <alignment horizontal="center"/>
    </xf>
    <xf numFmtId="0" fontId="3" fillId="10" borderId="18" xfId="0" applyFont="1" applyFill="1" applyBorder="1" applyAlignment="1">
      <alignment horizontal="center"/>
    </xf>
    <xf numFmtId="164" fontId="0" fillId="0" borderId="12" xfId="1" applyNumberFormat="1" applyFont="1" applyBorder="1" applyAlignment="1">
      <alignment horizontal="center"/>
    </xf>
    <xf numFmtId="165" fontId="0" fillId="0" borderId="12" xfId="2" applyNumberFormat="1" applyFont="1" applyBorder="1" applyAlignment="1">
      <alignment horizontal="center"/>
    </xf>
    <xf numFmtId="164" fontId="0" fillId="0" borderId="53" xfId="0" applyNumberFormat="1" applyBorder="1" applyAlignment="1">
      <alignment horizontal="center"/>
    </xf>
    <xf numFmtId="0" fontId="3" fillId="4" borderId="58" xfId="0" applyFont="1" applyFill="1" applyBorder="1" applyAlignment="1">
      <alignment horizontal="center" wrapText="1"/>
    </xf>
    <xf numFmtId="0" fontId="3" fillId="4" borderId="59" xfId="0" applyFont="1" applyFill="1" applyBorder="1" applyAlignment="1">
      <alignment horizontal="center" wrapText="1"/>
    </xf>
    <xf numFmtId="0" fontId="31" fillId="4" borderId="60" xfId="0" applyFont="1" applyFill="1" applyBorder="1" applyAlignment="1">
      <alignment horizontal="center" wrapText="1"/>
    </xf>
    <xf numFmtId="0" fontId="31" fillId="4" borderId="12" xfId="0" applyFont="1" applyFill="1" applyBorder="1" applyAlignment="1">
      <alignment horizontal="center" wrapText="1"/>
    </xf>
    <xf numFmtId="0" fontId="31" fillId="4" borderId="61" xfId="0" applyFont="1" applyFill="1" applyBorder="1" applyAlignment="1">
      <alignment horizontal="center" wrapText="1"/>
    </xf>
    <xf numFmtId="0" fontId="4" fillId="4" borderId="58"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20" fillId="10" borderId="25" xfId="0" applyFont="1" applyFill="1" applyBorder="1" applyAlignment="1">
      <alignment horizontal="left" vertical="top" wrapText="1"/>
    </xf>
    <xf numFmtId="0" fontId="20" fillId="10" borderId="26" xfId="0" applyFont="1" applyFill="1" applyBorder="1" applyAlignment="1">
      <alignment horizontal="left" vertical="top" wrapText="1"/>
    </xf>
    <xf numFmtId="0" fontId="20" fillId="10" borderId="47" xfId="0" applyFont="1" applyFill="1" applyBorder="1" applyAlignment="1">
      <alignment horizontal="left" vertical="top" wrapText="1"/>
    </xf>
    <xf numFmtId="164" fontId="3" fillId="24" borderId="40" xfId="1" applyNumberFormat="1" applyFont="1" applyFill="1" applyBorder="1" applyAlignment="1">
      <alignment horizontal="center"/>
    </xf>
    <xf numFmtId="164" fontId="3" fillId="24" borderId="41" xfId="1" applyNumberFormat="1" applyFont="1" applyFill="1" applyBorder="1" applyAlignment="1">
      <alignment horizontal="center"/>
    </xf>
    <xf numFmtId="9" fontId="3" fillId="24" borderId="26" xfId="0" applyNumberFormat="1" applyFont="1" applyFill="1" applyBorder="1" applyAlignment="1">
      <alignment horizontal="center"/>
    </xf>
    <xf numFmtId="9" fontId="3" fillId="24" borderId="47" xfId="0" applyNumberFormat="1" applyFont="1" applyFill="1" applyBorder="1" applyAlignment="1">
      <alignment horizontal="center"/>
    </xf>
    <xf numFmtId="0" fontId="0" fillId="10" borderId="25" xfId="0" applyFill="1" applyBorder="1" applyAlignment="1">
      <alignment horizontal="center"/>
    </xf>
    <xf numFmtId="0" fontId="0" fillId="10" borderId="26" xfId="0" applyFill="1" applyBorder="1" applyAlignment="1">
      <alignment horizontal="center"/>
    </xf>
    <xf numFmtId="0" fontId="0" fillId="10" borderId="47" xfId="0" applyFill="1" applyBorder="1" applyAlignment="1">
      <alignment horizontal="center"/>
    </xf>
    <xf numFmtId="0" fontId="3" fillId="10" borderId="25" xfId="0" applyFont="1" applyFill="1" applyBorder="1" applyAlignment="1">
      <alignment horizontal="center"/>
    </xf>
    <xf numFmtId="0" fontId="3" fillId="10" borderId="26" xfId="0" applyFont="1" applyFill="1" applyBorder="1" applyAlignment="1">
      <alignment horizontal="center"/>
    </xf>
    <xf numFmtId="0" fontId="3" fillId="10" borderId="47" xfId="0" applyFont="1" applyFill="1" applyBorder="1" applyAlignment="1">
      <alignment horizontal="center"/>
    </xf>
  </cellXfs>
  <cellStyles count="11">
    <cellStyle name="Bad" xfId="4" builtinId="27"/>
    <cellStyle name="Check Cell" xfId="10" builtinId="23"/>
    <cellStyle name="Comma" xfId="2" builtinId="3"/>
    <cellStyle name="Currency" xfId="1" builtinId="4"/>
    <cellStyle name="Currency 4" xfId="7"/>
    <cellStyle name="Normal" xfId="0" builtinId="0"/>
    <cellStyle name="Normal 3" xfId="6"/>
    <cellStyle name="Note" xfId="5" builtinId="10"/>
    <cellStyle name="Percent" xfId="3" builtinId="5"/>
    <cellStyle name="Percent 16" xfId="9"/>
    <cellStyle name="Percent 2" xfId="8"/>
  </cellStyles>
  <dxfs count="8">
    <dxf>
      <fill>
        <patternFill patternType="solid">
          <fgColor rgb="FFE6B8AF"/>
          <bgColor rgb="FFE6B8AF"/>
        </patternFill>
      </fill>
    </dxf>
    <dxf>
      <fill>
        <patternFill patternType="solid">
          <fgColor rgb="FFEAD1DC"/>
          <bgColor rgb="FFEAD1DC"/>
        </patternFill>
      </fill>
    </dxf>
    <dxf>
      <fill>
        <patternFill patternType="solid">
          <fgColor rgb="FFFCE8B2"/>
          <bgColor rgb="FFFCE8B2"/>
        </patternFill>
      </fill>
    </dxf>
    <dxf>
      <fill>
        <patternFill patternType="solid">
          <fgColor rgb="FFB7E1CD"/>
          <bgColor rgb="FFB7E1CD"/>
        </patternFill>
      </fill>
    </dxf>
    <dxf>
      <fill>
        <patternFill patternType="solid">
          <fgColor rgb="FFE6B8AF"/>
          <bgColor rgb="FFE6B8AF"/>
        </patternFill>
      </fill>
    </dxf>
    <dxf>
      <fill>
        <patternFill patternType="solid">
          <fgColor rgb="FFEAD1DC"/>
          <bgColor rgb="FFEAD1DC"/>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colors>
    <mruColors>
      <color rgb="FFF85E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2</xdr:row>
      <xdr:rowOff>85724</xdr:rowOff>
    </xdr:from>
    <xdr:to>
      <xdr:col>16</xdr:col>
      <xdr:colOff>129238</xdr:colOff>
      <xdr:row>19</xdr:row>
      <xdr:rowOff>139699</xdr:rowOff>
    </xdr:to>
    <xdr:pic>
      <xdr:nvPicPr>
        <xdr:cNvPr id="3" name="Picture 2"/>
        <xdr:cNvPicPr>
          <a:picLocks noChangeAspect="1"/>
        </xdr:cNvPicPr>
      </xdr:nvPicPr>
      <xdr:blipFill rotWithShape="1">
        <a:blip xmlns:r="http://schemas.openxmlformats.org/officeDocument/2006/relationships" r:embed="rId1"/>
        <a:srcRect t="30428"/>
        <a:stretch/>
      </xdr:blipFill>
      <xdr:spPr>
        <a:xfrm>
          <a:off x="1428750" y="466724"/>
          <a:ext cx="8454088" cy="3921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37598</xdr:colOff>
      <xdr:row>110</xdr:row>
      <xdr:rowOff>137861</xdr:rowOff>
    </xdr:from>
    <xdr:to>
      <xdr:col>5</xdr:col>
      <xdr:colOff>814636</xdr:colOff>
      <xdr:row>114</xdr:row>
      <xdr:rowOff>187993</xdr:rowOff>
    </xdr:to>
    <xdr:sp macro="" textlink="">
      <xdr:nvSpPr>
        <xdr:cNvPr id="2" name="Striped Right Arrow 1"/>
        <xdr:cNvSpPr/>
      </xdr:nvSpPr>
      <xdr:spPr>
        <a:xfrm rot="10800000">
          <a:off x="4323848" y="8310311"/>
          <a:ext cx="929438" cy="831182"/>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980722</xdr:colOff>
      <xdr:row>112</xdr:row>
      <xdr:rowOff>49388</xdr:rowOff>
    </xdr:from>
    <xdr:to>
      <xdr:col>2</xdr:col>
      <xdr:colOff>148166</xdr:colOff>
      <xdr:row>115</xdr:row>
      <xdr:rowOff>141111</xdr:rowOff>
    </xdr:to>
    <xdr:sp macro="" textlink="">
      <xdr:nvSpPr>
        <xdr:cNvPr id="3" name="Right Brace 2"/>
        <xdr:cNvSpPr/>
      </xdr:nvSpPr>
      <xdr:spPr>
        <a:xfrm>
          <a:off x="3344333" y="8452555"/>
          <a:ext cx="162277" cy="656167"/>
        </a:xfrm>
        <a:prstGeom prst="rightBrace">
          <a:avLst/>
        </a:prstGeom>
      </xdr:spPr>
      <xdr:style>
        <a:lnRef idx="1">
          <a:schemeClr val="accent5"/>
        </a:lnRef>
        <a:fillRef idx="0">
          <a:schemeClr val="accent5"/>
        </a:fillRef>
        <a:effectRef idx="0">
          <a:schemeClr val="accent5"/>
        </a:effectRef>
        <a:fontRef idx="minor">
          <a:schemeClr val="tx1"/>
        </a:fontRef>
      </xdr:style>
      <xdr:txBody>
        <a:bodyPr vertOverflow="clip" horzOverflow="clip" rtlCol="0" anchor="t"/>
        <a:lstStyle/>
        <a:p>
          <a:pPr algn="l"/>
          <a:endParaRPr lang="en-US" sz="1100"/>
        </a:p>
      </xdr:txBody>
    </xdr:sp>
    <xdr:clientData/>
  </xdr:twoCellAnchor>
  <xdr:oneCellAnchor>
    <xdr:from>
      <xdr:col>1</xdr:col>
      <xdr:colOff>966611</xdr:colOff>
      <xdr:row>113</xdr:row>
      <xdr:rowOff>112890</xdr:rowOff>
    </xdr:from>
    <xdr:ext cx="400238" cy="264560"/>
    <xdr:sp macro="" textlink="">
      <xdr:nvSpPr>
        <xdr:cNvPr id="4" name="TextBox 3"/>
        <xdr:cNvSpPr txBox="1"/>
      </xdr:nvSpPr>
      <xdr:spPr>
        <a:xfrm>
          <a:off x="3330222" y="8706557"/>
          <a:ext cx="4002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-4%</a:t>
          </a:r>
        </a:p>
      </xdr:txBody>
    </xdr:sp>
    <xdr:clientData/>
  </xdr:oneCellAnchor>
  <xdr:twoCellAnchor>
    <xdr:from>
      <xdr:col>2</xdr:col>
      <xdr:colOff>155223</xdr:colOff>
      <xdr:row>112</xdr:row>
      <xdr:rowOff>42333</xdr:rowOff>
    </xdr:from>
    <xdr:to>
      <xdr:col>2</xdr:col>
      <xdr:colOff>437445</xdr:colOff>
      <xdr:row>116</xdr:row>
      <xdr:rowOff>183444</xdr:rowOff>
    </xdr:to>
    <xdr:sp macro="" textlink="">
      <xdr:nvSpPr>
        <xdr:cNvPr id="5" name="Right Brace 4"/>
        <xdr:cNvSpPr/>
      </xdr:nvSpPr>
      <xdr:spPr>
        <a:xfrm>
          <a:off x="3513667" y="8445500"/>
          <a:ext cx="282222" cy="8890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oneCellAnchor>
    <xdr:from>
      <xdr:col>2</xdr:col>
      <xdr:colOff>232833</xdr:colOff>
      <xdr:row>114</xdr:row>
      <xdr:rowOff>49389</xdr:rowOff>
    </xdr:from>
    <xdr:ext cx="400238" cy="264560"/>
    <xdr:sp macro="" textlink="">
      <xdr:nvSpPr>
        <xdr:cNvPr id="6" name="TextBox 5"/>
        <xdr:cNvSpPr txBox="1"/>
      </xdr:nvSpPr>
      <xdr:spPr>
        <a:xfrm>
          <a:off x="3591277" y="8833556"/>
          <a:ext cx="4002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-6%</a:t>
          </a:r>
        </a:p>
      </xdr:txBody>
    </xdr:sp>
    <xdr:clientData/>
  </xdr:oneCellAnchor>
  <xdr:twoCellAnchor>
    <xdr:from>
      <xdr:col>2</xdr:col>
      <xdr:colOff>472722</xdr:colOff>
      <xdr:row>112</xdr:row>
      <xdr:rowOff>28222</xdr:rowOff>
    </xdr:from>
    <xdr:to>
      <xdr:col>2</xdr:col>
      <xdr:colOff>635001</xdr:colOff>
      <xdr:row>117</xdr:row>
      <xdr:rowOff>148166</xdr:rowOff>
    </xdr:to>
    <xdr:sp macro="" textlink="">
      <xdr:nvSpPr>
        <xdr:cNvPr id="7" name="Right Brace 6"/>
        <xdr:cNvSpPr/>
      </xdr:nvSpPr>
      <xdr:spPr>
        <a:xfrm>
          <a:off x="3831166" y="8431389"/>
          <a:ext cx="162279" cy="1058333"/>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horzOverflow="clip" rtlCol="0" anchor="t"/>
        <a:lstStyle/>
        <a:p>
          <a:pPr algn="l"/>
          <a:endParaRPr lang="en-US" sz="1100"/>
        </a:p>
      </xdr:txBody>
    </xdr:sp>
    <xdr:clientData/>
  </xdr:twoCellAnchor>
  <xdr:oneCellAnchor>
    <xdr:from>
      <xdr:col>2</xdr:col>
      <xdr:colOff>500945</xdr:colOff>
      <xdr:row>114</xdr:row>
      <xdr:rowOff>176389</xdr:rowOff>
    </xdr:from>
    <xdr:ext cx="400238" cy="264560"/>
    <xdr:sp macro="" textlink="">
      <xdr:nvSpPr>
        <xdr:cNvPr id="8" name="TextBox 7"/>
        <xdr:cNvSpPr txBox="1"/>
      </xdr:nvSpPr>
      <xdr:spPr>
        <a:xfrm>
          <a:off x="3859389" y="8960556"/>
          <a:ext cx="4002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-8%</a:t>
          </a:r>
        </a:p>
      </xdr:txBody>
    </xdr:sp>
    <xdr:clientData/>
  </xdr:oneCellAnchor>
  <xdr:twoCellAnchor>
    <xdr:from>
      <xdr:col>2</xdr:col>
      <xdr:colOff>762000</xdr:colOff>
      <xdr:row>112</xdr:row>
      <xdr:rowOff>63499</xdr:rowOff>
    </xdr:from>
    <xdr:to>
      <xdr:col>2</xdr:col>
      <xdr:colOff>924278</xdr:colOff>
      <xdr:row>118</xdr:row>
      <xdr:rowOff>183443</xdr:rowOff>
    </xdr:to>
    <xdr:sp macro="" textlink="">
      <xdr:nvSpPr>
        <xdr:cNvPr id="9" name="Right Brace 8"/>
        <xdr:cNvSpPr/>
      </xdr:nvSpPr>
      <xdr:spPr>
        <a:xfrm>
          <a:off x="4120444" y="8466666"/>
          <a:ext cx="162278" cy="1248833"/>
        </a:xfrm>
        <a:prstGeom prst="rightBrace">
          <a:avLst/>
        </a:prstGeom>
      </xdr:spPr>
      <xdr:style>
        <a:lnRef idx="2">
          <a:schemeClr val="accent4"/>
        </a:lnRef>
        <a:fillRef idx="0">
          <a:schemeClr val="accent4"/>
        </a:fillRef>
        <a:effectRef idx="1">
          <a:schemeClr val="accent4"/>
        </a:effectRef>
        <a:fontRef idx="minor">
          <a:schemeClr val="tx1"/>
        </a:fontRef>
      </xdr:style>
      <xdr:txBody>
        <a:bodyPr vertOverflow="clip" horzOverflow="clip" rtlCol="0" anchor="t"/>
        <a:lstStyle/>
        <a:p>
          <a:pPr algn="l"/>
          <a:endParaRPr lang="en-US" sz="1100"/>
        </a:p>
      </xdr:txBody>
    </xdr:sp>
    <xdr:clientData/>
  </xdr:twoCellAnchor>
  <xdr:oneCellAnchor>
    <xdr:from>
      <xdr:col>2</xdr:col>
      <xdr:colOff>754944</xdr:colOff>
      <xdr:row>115</xdr:row>
      <xdr:rowOff>134056</xdr:rowOff>
    </xdr:from>
    <xdr:ext cx="471732" cy="264560"/>
    <xdr:sp macro="" textlink="">
      <xdr:nvSpPr>
        <xdr:cNvPr id="10" name="TextBox 9"/>
        <xdr:cNvSpPr txBox="1"/>
      </xdr:nvSpPr>
      <xdr:spPr>
        <a:xfrm>
          <a:off x="4113388" y="9101667"/>
          <a:ext cx="4717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-10%</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19-20%20Budget%20Plan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Budget Planning  (2)"/>
      <sheetName val="Operational Transfers"/>
      <sheetName val="CoverPage"/>
      <sheetName val=" Summary"/>
      <sheetName val="FY19 Budget Planning "/>
      <sheetName val="Last year Fund"/>
      <sheetName val="Operational Fund"/>
      <sheetName val="Capital Non-Tech"/>
      <sheetName val="Capital Technology"/>
      <sheetName val="Occ. Capital"/>
      <sheetName val="Prop301"/>
      <sheetName val="Accademic Affairs"/>
      <sheetName val="Student Affairs"/>
      <sheetName val="Administrative Services"/>
      <sheetName val="IT"/>
      <sheetName val="President Office's Staff"/>
      <sheetName val="Puma Path Project"/>
      <sheetName val="CWS"/>
      <sheetName val="FY18-19 Budget Report"/>
      <sheetName val="Origninal"/>
      <sheetName val="Sheet2"/>
    </sheetNames>
    <sheetDataSet>
      <sheetData sheetId="0"/>
      <sheetData sheetId="1"/>
      <sheetData sheetId="2"/>
      <sheetData sheetId="3"/>
      <sheetData sheetId="4"/>
      <sheetData sheetId="5"/>
      <sheetData sheetId="6"/>
      <sheetData sheetId="7"/>
      <sheetData sheetId="8"/>
      <sheetData sheetId="9"/>
      <sheetData sheetId="10">
        <row r="3">
          <cell r="R3">
            <v>288798</v>
          </cell>
        </row>
      </sheetData>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6:V36"/>
  <sheetViews>
    <sheetView topLeftCell="A11" workbookViewId="0">
      <selection activeCell="A11" sqref="A11"/>
    </sheetView>
  </sheetViews>
  <sheetFormatPr defaultRowHeight="14.5"/>
  <sheetData>
    <row r="16" spans="1:21" ht="31">
      <c r="A16" s="505" t="s">
        <v>945</v>
      </c>
      <c r="B16" s="505"/>
      <c r="C16" s="505"/>
      <c r="D16" s="505"/>
      <c r="E16" s="505"/>
      <c r="F16" s="505"/>
      <c r="G16" s="505"/>
      <c r="H16" s="505"/>
      <c r="I16" s="505"/>
      <c r="J16" s="505"/>
      <c r="K16" s="505"/>
      <c r="L16" s="505"/>
      <c r="M16" s="505"/>
      <c r="N16" s="505"/>
      <c r="O16" s="505"/>
      <c r="P16" s="505"/>
      <c r="Q16" s="505"/>
      <c r="R16" s="505"/>
      <c r="S16" s="505"/>
      <c r="T16" s="319"/>
      <c r="U16" s="319"/>
    </row>
    <row r="18" spans="1:22" ht="31">
      <c r="A18" s="504" t="s">
        <v>946</v>
      </c>
      <c r="B18" s="504"/>
      <c r="C18" s="504"/>
      <c r="D18" s="504"/>
      <c r="E18" s="504"/>
      <c r="F18" s="504"/>
      <c r="G18" s="504"/>
      <c r="H18" s="504"/>
      <c r="I18" s="504"/>
      <c r="J18" s="504"/>
      <c r="K18" s="504"/>
      <c r="L18" s="504"/>
      <c r="M18" s="504"/>
      <c r="N18" s="504"/>
      <c r="O18" s="504"/>
      <c r="P18" s="504"/>
      <c r="Q18" s="504"/>
      <c r="R18" s="504"/>
      <c r="S18" s="504"/>
      <c r="T18" s="320"/>
      <c r="U18" s="320"/>
    </row>
    <row r="19" spans="1:22" ht="31">
      <c r="A19" s="504" t="s">
        <v>947</v>
      </c>
      <c r="B19" s="504"/>
      <c r="C19" s="504"/>
      <c r="D19" s="504"/>
      <c r="E19" s="504"/>
      <c r="F19" s="504"/>
      <c r="G19" s="504"/>
      <c r="H19" s="504"/>
      <c r="I19" s="504"/>
      <c r="J19" s="504"/>
      <c r="K19" s="504"/>
      <c r="L19" s="504"/>
      <c r="M19" s="504"/>
      <c r="N19" s="504"/>
      <c r="O19" s="504"/>
      <c r="P19" s="504"/>
      <c r="Q19" s="504"/>
      <c r="R19" s="504"/>
      <c r="S19" s="504"/>
      <c r="T19" s="320"/>
      <c r="U19" s="320"/>
      <c r="V19" s="320"/>
    </row>
    <row r="22" spans="1:22" ht="15.5">
      <c r="C22" s="318" t="s">
        <v>948</v>
      </c>
      <c r="D22" s="318"/>
      <c r="E22" s="318"/>
      <c r="H22" s="318" t="s">
        <v>952</v>
      </c>
      <c r="L22" s="318" t="s">
        <v>956</v>
      </c>
      <c r="M22" s="318"/>
      <c r="N22" s="318"/>
      <c r="O22" s="318"/>
      <c r="P22" s="318" t="s">
        <v>960</v>
      </c>
      <c r="Q22" s="318"/>
    </row>
    <row r="23" spans="1:22" ht="15.5">
      <c r="C23" s="318" t="s">
        <v>949</v>
      </c>
      <c r="D23" s="318"/>
      <c r="E23" s="318"/>
      <c r="H23" s="318" t="s">
        <v>953</v>
      </c>
      <c r="L23" s="318" t="s">
        <v>957</v>
      </c>
      <c r="M23" s="318"/>
      <c r="N23" s="318"/>
      <c r="O23" s="318"/>
      <c r="P23" s="318" t="s">
        <v>961</v>
      </c>
      <c r="Q23" s="318"/>
    </row>
    <row r="24" spans="1:22" ht="15.5">
      <c r="C24" s="318" t="s">
        <v>950</v>
      </c>
      <c r="D24" s="318"/>
      <c r="E24" s="318"/>
      <c r="H24" s="318" t="s">
        <v>954</v>
      </c>
      <c r="L24" s="318" t="s">
        <v>958</v>
      </c>
      <c r="M24" s="318"/>
      <c r="N24" s="318"/>
      <c r="O24" s="318"/>
      <c r="P24" s="318" t="s">
        <v>962</v>
      </c>
      <c r="Q24" s="318"/>
    </row>
    <row r="25" spans="1:22" ht="15.5">
      <c r="C25" s="318" t="s">
        <v>951</v>
      </c>
      <c r="D25" s="318"/>
      <c r="E25" s="318"/>
      <c r="H25" s="318" t="s">
        <v>955</v>
      </c>
      <c r="L25" s="318" t="s">
        <v>959</v>
      </c>
      <c r="M25" s="318"/>
      <c r="N25" s="318"/>
      <c r="O25" s="318"/>
      <c r="P25" s="318" t="s">
        <v>963</v>
      </c>
      <c r="Q25" s="318"/>
    </row>
    <row r="26" spans="1:22" ht="15.5">
      <c r="C26" s="318" t="s">
        <v>965</v>
      </c>
      <c r="H26" s="318" t="s">
        <v>1039</v>
      </c>
      <c r="L26" s="318" t="s">
        <v>966</v>
      </c>
      <c r="M26" s="318"/>
      <c r="N26" s="318"/>
      <c r="O26" s="318"/>
      <c r="P26" s="318" t="s">
        <v>964</v>
      </c>
      <c r="Q26" s="318"/>
    </row>
    <row r="27" spans="1:22" ht="15.5">
      <c r="C27" s="318" t="s">
        <v>968</v>
      </c>
      <c r="H27" s="318" t="s">
        <v>967</v>
      </c>
      <c r="L27" s="318" t="s">
        <v>969</v>
      </c>
      <c r="M27" s="318"/>
      <c r="N27" s="318"/>
      <c r="O27" s="318"/>
      <c r="P27" s="318"/>
      <c r="Q27" s="318"/>
    </row>
    <row r="28" spans="1:22" ht="15.5">
      <c r="L28" s="318"/>
      <c r="M28" s="318"/>
      <c r="N28" s="318"/>
      <c r="O28" s="318"/>
      <c r="P28" s="318"/>
      <c r="Q28" s="318"/>
    </row>
    <row r="32" spans="1:22" ht="15" thickBot="1"/>
    <row r="33" spans="3:17" ht="15.5" thickTop="1" thickBot="1">
      <c r="C33" s="503" t="s">
        <v>970</v>
      </c>
      <c r="D33" s="503"/>
      <c r="E33" s="503"/>
      <c r="F33" s="503"/>
      <c r="G33" s="503"/>
      <c r="H33" s="503"/>
      <c r="I33" s="503"/>
      <c r="J33" s="503"/>
      <c r="K33" s="503"/>
      <c r="L33" s="503"/>
      <c r="M33" s="503"/>
      <c r="N33" s="503"/>
      <c r="O33" s="503"/>
      <c r="P33" s="503"/>
      <c r="Q33" s="503"/>
    </row>
    <row r="34" spans="3:17" ht="15.5" thickTop="1" thickBot="1">
      <c r="C34" s="503"/>
      <c r="D34" s="503"/>
      <c r="E34" s="503"/>
      <c r="F34" s="503"/>
      <c r="G34" s="503"/>
      <c r="H34" s="503"/>
      <c r="I34" s="503"/>
      <c r="J34" s="503"/>
      <c r="K34" s="503"/>
      <c r="L34" s="503"/>
      <c r="M34" s="503"/>
      <c r="N34" s="503"/>
      <c r="O34" s="503"/>
      <c r="P34" s="503"/>
      <c r="Q34" s="503"/>
    </row>
    <row r="35" spans="3:17" ht="15.5" thickTop="1" thickBot="1">
      <c r="C35" s="503"/>
      <c r="D35" s="503"/>
      <c r="E35" s="503"/>
      <c r="F35" s="503"/>
      <c r="G35" s="503"/>
      <c r="H35" s="503"/>
      <c r="I35" s="503"/>
      <c r="J35" s="503"/>
      <c r="K35" s="503"/>
      <c r="L35" s="503"/>
      <c r="M35" s="503"/>
      <c r="N35" s="503"/>
      <c r="O35" s="503"/>
      <c r="P35" s="503"/>
      <c r="Q35" s="503"/>
    </row>
    <row r="36" spans="3:17" ht="15" thickTop="1"/>
  </sheetData>
  <mergeCells count="4">
    <mergeCell ref="C33:Q35"/>
    <mergeCell ref="A19:S19"/>
    <mergeCell ref="A16:S16"/>
    <mergeCell ref="A18:S18"/>
  </mergeCells>
  <pageMargins left="0.25" right="0.25" top="0.75" bottom="0.75" header="0.3" footer="0.3"/>
  <pageSetup paperSize="5" scale="96"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2"/>
  <sheetViews>
    <sheetView zoomScale="80" zoomScaleNormal="80" workbookViewId="0">
      <selection activeCell="D6" sqref="D6"/>
    </sheetView>
  </sheetViews>
  <sheetFormatPr defaultRowHeight="14.5"/>
  <cols>
    <col min="1" max="1" width="11.1796875" style="35" customWidth="1"/>
    <col min="2" max="2" width="16.7265625" style="2" customWidth="1"/>
    <col min="3" max="3" width="9.1796875" customWidth="1"/>
    <col min="4" max="4" width="18.54296875" style="2" customWidth="1"/>
    <col min="5" max="5" width="15.81640625" style="233" customWidth="1"/>
    <col min="6" max="6" width="9.1796875" style="226" customWidth="1"/>
    <col min="7" max="7" width="36.81640625" style="2" customWidth="1"/>
    <col min="8" max="8" width="73.453125" style="2" customWidth="1"/>
    <col min="9" max="9" width="17.453125" style="2" hidden="1" customWidth="1"/>
    <col min="10" max="10" width="16.81640625" style="2" hidden="1" customWidth="1"/>
    <col min="11" max="11" width="9.54296875" style="36" hidden="1" customWidth="1"/>
    <col min="12" max="12" width="10.54296875" style="36" hidden="1" customWidth="1"/>
    <col min="13" max="13" width="10.81640625" style="2" hidden="1" customWidth="1"/>
    <col min="14" max="14" width="11" customWidth="1"/>
    <col min="15" max="15" width="8.54296875" style="36" bestFit="1" customWidth="1"/>
    <col min="16" max="16" width="14.26953125" bestFit="1" customWidth="1"/>
    <col min="17" max="17" width="12" customWidth="1"/>
    <col min="18" max="18" width="10.26953125" customWidth="1"/>
    <col min="19" max="19" width="13.81640625" customWidth="1"/>
    <col min="20" max="20" width="10.26953125" customWidth="1"/>
  </cols>
  <sheetData>
    <row r="1" spans="1:20" ht="31.5" customHeight="1" thickBot="1">
      <c r="A1" s="232" t="s">
        <v>773</v>
      </c>
      <c r="Q1" s="2"/>
      <c r="S1" s="2"/>
    </row>
    <row r="2" spans="1:20" s="7" customFormat="1" ht="58">
      <c r="A2" s="234" t="s">
        <v>1</v>
      </c>
      <c r="B2" s="235" t="s">
        <v>2</v>
      </c>
      <c r="C2" s="236" t="s">
        <v>3</v>
      </c>
      <c r="D2" s="235" t="s">
        <v>4</v>
      </c>
      <c r="E2" s="236" t="s">
        <v>5</v>
      </c>
      <c r="F2" s="237" t="s">
        <v>6</v>
      </c>
      <c r="G2" s="235" t="s">
        <v>7</v>
      </c>
      <c r="H2" s="235" t="s">
        <v>8</v>
      </c>
      <c r="I2" s="235" t="s">
        <v>9</v>
      </c>
      <c r="J2" s="235" t="s">
        <v>10</v>
      </c>
      <c r="K2" s="237" t="s">
        <v>11</v>
      </c>
      <c r="L2" s="237" t="s">
        <v>12</v>
      </c>
      <c r="M2" s="235" t="s">
        <v>13</v>
      </c>
      <c r="N2" s="235" t="s">
        <v>658</v>
      </c>
      <c r="O2" s="358" t="s">
        <v>659</v>
      </c>
      <c r="P2" s="235" t="s">
        <v>14</v>
      </c>
      <c r="Q2" s="235" t="s">
        <v>1022</v>
      </c>
      <c r="R2" s="238" t="s">
        <v>105</v>
      </c>
      <c r="S2" s="429" t="s">
        <v>1012</v>
      </c>
      <c r="T2" s="414" t="s">
        <v>105</v>
      </c>
    </row>
    <row r="3" spans="1:20" ht="30" customHeight="1">
      <c r="A3" s="239" t="s">
        <v>724</v>
      </c>
      <c r="B3" s="240"/>
      <c r="C3" s="241"/>
      <c r="D3" s="240"/>
      <c r="E3" s="241"/>
      <c r="F3" s="349"/>
      <c r="G3" s="240"/>
      <c r="H3" s="240"/>
      <c r="I3" s="240"/>
      <c r="J3" s="240"/>
      <c r="K3" s="352"/>
      <c r="L3" s="352"/>
      <c r="M3" s="240"/>
      <c r="N3" s="241"/>
      <c r="O3" s="352"/>
      <c r="P3" s="242"/>
      <c r="Q3" s="242"/>
      <c r="R3" s="243"/>
      <c r="S3" s="419"/>
      <c r="T3" s="466"/>
    </row>
    <row r="4" spans="1:20" ht="115" customHeight="1">
      <c r="A4" s="21" t="s">
        <v>725</v>
      </c>
      <c r="B4" s="14" t="s">
        <v>166</v>
      </c>
      <c r="C4" s="13">
        <v>57865</v>
      </c>
      <c r="D4" s="14" t="s">
        <v>1067</v>
      </c>
      <c r="E4" s="13" t="s">
        <v>168</v>
      </c>
      <c r="F4" s="57" t="s">
        <v>154</v>
      </c>
      <c r="G4" s="14" t="s">
        <v>726</v>
      </c>
      <c r="H4" s="14" t="s">
        <v>727</v>
      </c>
      <c r="I4" s="14" t="s">
        <v>728</v>
      </c>
      <c r="J4" s="14" t="s">
        <v>31</v>
      </c>
      <c r="K4" s="71" t="s">
        <v>33</v>
      </c>
      <c r="L4" s="71" t="s">
        <v>33</v>
      </c>
      <c r="M4" s="14" t="s">
        <v>25</v>
      </c>
      <c r="N4" s="15">
        <v>20000</v>
      </c>
      <c r="O4" s="71">
        <v>1</v>
      </c>
      <c r="P4" s="15">
        <v>20000</v>
      </c>
      <c r="Q4" s="15">
        <v>20000</v>
      </c>
      <c r="R4" s="244"/>
      <c r="S4" s="419">
        <f>Q4</f>
        <v>20000</v>
      </c>
      <c r="T4" s="466"/>
    </row>
    <row r="5" spans="1:20" ht="120" customHeight="1">
      <c r="A5" s="21" t="s">
        <v>729</v>
      </c>
      <c r="B5" s="14" t="s">
        <v>166</v>
      </c>
      <c r="C5" s="13">
        <v>58020</v>
      </c>
      <c r="D5" s="14" t="s">
        <v>1067</v>
      </c>
      <c r="E5" s="13" t="s">
        <v>168</v>
      </c>
      <c r="F5" s="57" t="s">
        <v>154</v>
      </c>
      <c r="G5" s="14" t="s">
        <v>730</v>
      </c>
      <c r="H5" s="14" t="s">
        <v>730</v>
      </c>
      <c r="I5" s="14" t="s">
        <v>728</v>
      </c>
      <c r="J5" s="14" t="s">
        <v>31</v>
      </c>
      <c r="K5" s="71" t="s">
        <v>33</v>
      </c>
      <c r="L5" s="71" t="s">
        <v>33</v>
      </c>
      <c r="M5" s="14" t="s">
        <v>56</v>
      </c>
      <c r="N5" s="15">
        <v>15000</v>
      </c>
      <c r="O5" s="71">
        <v>1</v>
      </c>
      <c r="P5" s="15">
        <v>15000</v>
      </c>
      <c r="Q5" s="15">
        <v>15000</v>
      </c>
      <c r="R5" s="244"/>
      <c r="S5" s="419">
        <f t="shared" ref="S5:S6" si="0">Q5</f>
        <v>15000</v>
      </c>
      <c r="T5" s="466"/>
    </row>
    <row r="6" spans="1:20" ht="90" customHeight="1">
      <c r="A6" s="245" t="s">
        <v>731</v>
      </c>
      <c r="B6" s="14" t="s">
        <v>256</v>
      </c>
      <c r="C6" s="13">
        <v>58020</v>
      </c>
      <c r="D6" s="14" t="s">
        <v>448</v>
      </c>
      <c r="E6" s="13" t="s">
        <v>449</v>
      </c>
      <c r="F6" s="57" t="s">
        <v>154</v>
      </c>
      <c r="G6" s="14" t="s">
        <v>732</v>
      </c>
      <c r="H6" s="14" t="s">
        <v>733</v>
      </c>
      <c r="I6" s="14" t="s">
        <v>728</v>
      </c>
      <c r="J6" s="14" t="s">
        <v>158</v>
      </c>
      <c r="K6" s="71" t="s">
        <v>32</v>
      </c>
      <c r="L6" s="71" t="s">
        <v>32</v>
      </c>
      <c r="M6" s="14" t="s">
        <v>25</v>
      </c>
      <c r="N6" s="15">
        <v>40000</v>
      </c>
      <c r="O6" s="71">
        <v>2</v>
      </c>
      <c r="P6" s="15">
        <v>80000</v>
      </c>
      <c r="Q6" s="15">
        <v>80000</v>
      </c>
      <c r="R6" s="244"/>
      <c r="S6" s="419">
        <f t="shared" si="0"/>
        <v>80000</v>
      </c>
      <c r="T6" s="466"/>
    </row>
    <row r="7" spans="1:20" ht="101.5">
      <c r="A7" s="21" t="s">
        <v>734</v>
      </c>
      <c r="B7" s="14" t="s">
        <v>256</v>
      </c>
      <c r="C7" s="13">
        <v>58020</v>
      </c>
      <c r="D7" s="14" t="s">
        <v>448</v>
      </c>
      <c r="E7" s="13" t="s">
        <v>449</v>
      </c>
      <c r="F7" s="57" t="s">
        <v>154</v>
      </c>
      <c r="G7" s="14" t="s">
        <v>735</v>
      </c>
      <c r="H7" s="14" t="s">
        <v>736</v>
      </c>
      <c r="I7" s="14" t="s">
        <v>728</v>
      </c>
      <c r="J7" s="14" t="s">
        <v>158</v>
      </c>
      <c r="K7" s="71" t="s">
        <v>32</v>
      </c>
      <c r="L7" s="71" t="s">
        <v>32</v>
      </c>
      <c r="M7" s="14" t="s">
        <v>25</v>
      </c>
      <c r="N7" s="15">
        <v>2000</v>
      </c>
      <c r="O7" s="71">
        <v>4</v>
      </c>
      <c r="P7" s="15">
        <v>8000</v>
      </c>
      <c r="Q7" s="15">
        <v>8000</v>
      </c>
      <c r="R7" s="244"/>
      <c r="S7" s="419">
        <f>Q7</f>
        <v>8000</v>
      </c>
      <c r="T7" s="466"/>
    </row>
    <row r="8" spans="1:20" ht="36.75" customHeight="1">
      <c r="A8" s="23"/>
      <c r="B8" s="25"/>
      <c r="C8" s="24"/>
      <c r="D8" s="25"/>
      <c r="E8" s="24"/>
      <c r="F8" s="339"/>
      <c r="G8" s="25"/>
      <c r="H8" s="25"/>
      <c r="I8" s="25"/>
      <c r="J8" s="25"/>
      <c r="K8" s="353"/>
      <c r="L8" s="353"/>
      <c r="M8" s="247" t="s">
        <v>737</v>
      </c>
      <c r="N8" s="26"/>
      <c r="O8" s="342"/>
      <c r="P8" s="248">
        <f>SUM(P4:P7)</f>
        <v>123000</v>
      </c>
      <c r="Q8" s="248">
        <f>SUM(Q4:Q7)</f>
        <v>123000</v>
      </c>
      <c r="R8" s="249"/>
      <c r="S8" s="431">
        <f>SUM(S4:S7)</f>
        <v>123000</v>
      </c>
      <c r="T8" s="466"/>
    </row>
    <row r="9" spans="1:20" ht="38.25" customHeight="1">
      <c r="A9" s="239" t="s">
        <v>738</v>
      </c>
      <c r="B9" s="240"/>
      <c r="C9" s="241"/>
      <c r="D9" s="240"/>
      <c r="E9" s="241"/>
      <c r="F9" s="349"/>
      <c r="G9" s="240"/>
      <c r="H9" s="240"/>
      <c r="I9" s="240"/>
      <c r="J9" s="240"/>
      <c r="K9" s="352"/>
      <c r="L9" s="352"/>
      <c r="M9" s="240"/>
      <c r="N9" s="242"/>
      <c r="O9" s="352"/>
      <c r="P9" s="242"/>
      <c r="Q9" s="242"/>
      <c r="R9" s="243"/>
      <c r="S9" s="419"/>
      <c r="T9" s="466"/>
    </row>
    <row r="10" spans="1:20" ht="118" customHeight="1">
      <c r="A10" s="21" t="s">
        <v>739</v>
      </c>
      <c r="B10" s="14" t="s">
        <v>208</v>
      </c>
      <c r="C10" s="13">
        <v>57625</v>
      </c>
      <c r="D10" s="14" t="s">
        <v>393</v>
      </c>
      <c r="E10" s="13" t="s">
        <v>394</v>
      </c>
      <c r="F10" s="57" t="s">
        <v>154</v>
      </c>
      <c r="G10" s="14" t="s">
        <v>740</v>
      </c>
      <c r="H10" s="14" t="s">
        <v>741</v>
      </c>
      <c r="I10" s="14" t="s">
        <v>704</v>
      </c>
      <c r="J10" s="14" t="s">
        <v>31</v>
      </c>
      <c r="K10" s="71" t="s">
        <v>32</v>
      </c>
      <c r="L10" s="71" t="s">
        <v>32</v>
      </c>
      <c r="M10" s="14" t="s">
        <v>64</v>
      </c>
      <c r="N10" s="15">
        <v>2500</v>
      </c>
      <c r="O10" s="71">
        <v>1</v>
      </c>
      <c r="P10" s="15">
        <v>2500</v>
      </c>
      <c r="Q10" s="15">
        <v>2500</v>
      </c>
      <c r="R10" s="244"/>
      <c r="S10" s="419">
        <f t="shared" ref="S10:S18" si="1">Q10</f>
        <v>2500</v>
      </c>
      <c r="T10" s="466"/>
    </row>
    <row r="11" spans="1:20" ht="120.65" customHeight="1">
      <c r="A11" s="21" t="s">
        <v>742</v>
      </c>
      <c r="B11" s="14" t="s">
        <v>166</v>
      </c>
      <c r="C11" s="13">
        <v>57700</v>
      </c>
      <c r="D11" s="14" t="s">
        <v>167</v>
      </c>
      <c r="E11" s="13" t="s">
        <v>168</v>
      </c>
      <c r="F11" s="57" t="s">
        <v>154</v>
      </c>
      <c r="G11" s="14" t="s">
        <v>743</v>
      </c>
      <c r="H11" s="14" t="s">
        <v>743</v>
      </c>
      <c r="I11" s="14" t="s">
        <v>704</v>
      </c>
      <c r="J11" s="14" t="s">
        <v>31</v>
      </c>
      <c r="K11" s="71" t="s">
        <v>33</v>
      </c>
      <c r="L11" s="71" t="s">
        <v>33</v>
      </c>
      <c r="M11" s="14" t="s">
        <v>45</v>
      </c>
      <c r="N11" s="15">
        <v>15000</v>
      </c>
      <c r="O11" s="71">
        <v>1</v>
      </c>
      <c r="P11" s="15">
        <v>15000</v>
      </c>
      <c r="Q11" s="15">
        <v>22500</v>
      </c>
      <c r="R11" s="244"/>
      <c r="S11" s="419">
        <f t="shared" si="1"/>
        <v>22500</v>
      </c>
      <c r="T11" s="466"/>
    </row>
    <row r="12" spans="1:20" ht="110.5" customHeight="1">
      <c r="A12" s="21" t="s">
        <v>744</v>
      </c>
      <c r="B12" s="14" t="s">
        <v>176</v>
      </c>
      <c r="C12" s="13">
        <v>58020</v>
      </c>
      <c r="D12" s="14" t="s">
        <v>177</v>
      </c>
      <c r="E12" s="13" t="s">
        <v>178</v>
      </c>
      <c r="F12" s="57" t="s">
        <v>154</v>
      </c>
      <c r="G12" s="14" t="s">
        <v>745</v>
      </c>
      <c r="H12" s="14" t="s">
        <v>746</v>
      </c>
      <c r="I12" s="14" t="s">
        <v>704</v>
      </c>
      <c r="J12" s="14" t="s">
        <v>31</v>
      </c>
      <c r="K12" s="71" t="s">
        <v>32</v>
      </c>
      <c r="L12" s="71" t="s">
        <v>32</v>
      </c>
      <c r="M12" s="14" t="s">
        <v>64</v>
      </c>
      <c r="N12" s="15">
        <v>18000</v>
      </c>
      <c r="O12" s="71">
        <v>3</v>
      </c>
      <c r="P12" s="15">
        <v>54000</v>
      </c>
      <c r="Q12" s="15">
        <v>54000</v>
      </c>
      <c r="R12" s="244"/>
      <c r="S12" s="419">
        <f t="shared" si="1"/>
        <v>54000</v>
      </c>
      <c r="T12" s="466"/>
    </row>
    <row r="13" spans="1:20" ht="87">
      <c r="A13" s="21" t="s">
        <v>747</v>
      </c>
      <c r="B13" s="14" t="s">
        <v>748</v>
      </c>
      <c r="C13" s="13">
        <v>57720</v>
      </c>
      <c r="D13" s="14" t="s">
        <v>749</v>
      </c>
      <c r="E13" s="13" t="s">
        <v>750</v>
      </c>
      <c r="F13" s="57" t="s">
        <v>154</v>
      </c>
      <c r="G13" s="14" t="s">
        <v>751</v>
      </c>
      <c r="H13" s="14" t="s">
        <v>752</v>
      </c>
      <c r="I13" s="14" t="s">
        <v>704</v>
      </c>
      <c r="J13" s="14" t="s">
        <v>158</v>
      </c>
      <c r="K13" s="71" t="s">
        <v>32</v>
      </c>
      <c r="L13" s="71" t="s">
        <v>32</v>
      </c>
      <c r="M13" s="14" t="s">
        <v>53</v>
      </c>
      <c r="N13" s="15">
        <v>9000</v>
      </c>
      <c r="O13" s="71">
        <v>2</v>
      </c>
      <c r="P13" s="15">
        <v>18000</v>
      </c>
      <c r="Q13" s="15">
        <v>18000</v>
      </c>
      <c r="R13" s="244"/>
      <c r="S13" s="419">
        <f t="shared" si="1"/>
        <v>18000</v>
      </c>
      <c r="T13" s="466"/>
    </row>
    <row r="14" spans="1:20" ht="119.5" customHeight="1">
      <c r="A14" s="21" t="s">
        <v>753</v>
      </c>
      <c r="B14" s="14" t="s">
        <v>748</v>
      </c>
      <c r="C14" s="13">
        <v>57620</v>
      </c>
      <c r="D14" s="14" t="s">
        <v>749</v>
      </c>
      <c r="E14" s="13" t="s">
        <v>750</v>
      </c>
      <c r="F14" s="57" t="s">
        <v>154</v>
      </c>
      <c r="G14" s="14" t="s">
        <v>754</v>
      </c>
      <c r="H14" s="14" t="s">
        <v>755</v>
      </c>
      <c r="I14" s="14" t="s">
        <v>704</v>
      </c>
      <c r="J14" s="14" t="s">
        <v>31</v>
      </c>
      <c r="K14" s="71" t="s">
        <v>32</v>
      </c>
      <c r="L14" s="71" t="s">
        <v>32</v>
      </c>
      <c r="M14" s="14" t="s">
        <v>53</v>
      </c>
      <c r="N14" s="15">
        <v>6600</v>
      </c>
      <c r="O14" s="71">
        <v>1</v>
      </c>
      <c r="P14" s="15">
        <v>6600</v>
      </c>
      <c r="Q14" s="15">
        <v>6600</v>
      </c>
      <c r="R14" s="244"/>
      <c r="S14" s="419">
        <f t="shared" si="1"/>
        <v>6600</v>
      </c>
      <c r="T14" s="466"/>
    </row>
    <row r="15" spans="1:20" ht="170.5" customHeight="1">
      <c r="A15" s="21" t="s">
        <v>756</v>
      </c>
      <c r="B15" s="14" t="s">
        <v>267</v>
      </c>
      <c r="C15" s="13">
        <v>57620</v>
      </c>
      <c r="D15" s="14" t="s">
        <v>274</v>
      </c>
      <c r="E15" s="13" t="s">
        <v>275</v>
      </c>
      <c r="F15" s="57" t="s">
        <v>154</v>
      </c>
      <c r="G15" s="14" t="s">
        <v>757</v>
      </c>
      <c r="H15" s="14" t="s">
        <v>758</v>
      </c>
      <c r="I15" s="14" t="s">
        <v>704</v>
      </c>
      <c r="J15" s="14" t="s">
        <v>31</v>
      </c>
      <c r="K15" s="71" t="s">
        <v>32</v>
      </c>
      <c r="L15" s="71" t="s">
        <v>32</v>
      </c>
      <c r="M15" s="14" t="s">
        <v>272</v>
      </c>
      <c r="N15" s="15">
        <v>1300</v>
      </c>
      <c r="O15" s="71">
        <v>2</v>
      </c>
      <c r="P15" s="15">
        <v>2600</v>
      </c>
      <c r="Q15" s="15">
        <v>2600</v>
      </c>
      <c r="R15" s="244"/>
      <c r="S15" s="419">
        <f t="shared" si="1"/>
        <v>2600</v>
      </c>
      <c r="T15" s="466"/>
    </row>
    <row r="16" spans="1:20" ht="126.65" customHeight="1">
      <c r="A16" s="21" t="s">
        <v>759</v>
      </c>
      <c r="B16" s="14" t="s">
        <v>267</v>
      </c>
      <c r="C16" s="13">
        <v>57620</v>
      </c>
      <c r="D16" s="14" t="s">
        <v>274</v>
      </c>
      <c r="E16" s="13" t="s">
        <v>275</v>
      </c>
      <c r="F16" s="57" t="s">
        <v>154</v>
      </c>
      <c r="G16" s="14" t="s">
        <v>760</v>
      </c>
      <c r="H16" s="14" t="s">
        <v>761</v>
      </c>
      <c r="I16" s="14" t="s">
        <v>704</v>
      </c>
      <c r="J16" s="14" t="s">
        <v>31</v>
      </c>
      <c r="K16" s="71" t="s">
        <v>32</v>
      </c>
      <c r="L16" s="71" t="s">
        <v>32</v>
      </c>
      <c r="M16" s="14" t="s">
        <v>272</v>
      </c>
      <c r="N16" s="15">
        <v>3800</v>
      </c>
      <c r="O16" s="71">
        <v>1</v>
      </c>
      <c r="P16" s="15">
        <v>3800</v>
      </c>
      <c r="Q16" s="15">
        <v>3800</v>
      </c>
      <c r="R16" s="244"/>
      <c r="S16" s="419">
        <f t="shared" si="1"/>
        <v>3800</v>
      </c>
      <c r="T16" s="466"/>
    </row>
    <row r="17" spans="1:20" ht="149.15" customHeight="1">
      <c r="A17" s="21" t="s">
        <v>762</v>
      </c>
      <c r="B17" s="14" t="s">
        <v>267</v>
      </c>
      <c r="C17" s="13">
        <v>57620</v>
      </c>
      <c r="D17" s="14" t="s">
        <v>274</v>
      </c>
      <c r="E17" s="13" t="s">
        <v>275</v>
      </c>
      <c r="F17" s="57" t="s">
        <v>154</v>
      </c>
      <c r="G17" s="14" t="s">
        <v>763</v>
      </c>
      <c r="H17" s="14" t="s">
        <v>977</v>
      </c>
      <c r="I17" s="14" t="s">
        <v>704</v>
      </c>
      <c r="J17" s="14" t="s">
        <v>31</v>
      </c>
      <c r="K17" s="71" t="s">
        <v>32</v>
      </c>
      <c r="L17" s="71" t="s">
        <v>32</v>
      </c>
      <c r="M17" s="14" t="s">
        <v>272</v>
      </c>
      <c r="N17" s="15">
        <v>1400</v>
      </c>
      <c r="O17" s="71">
        <v>1</v>
      </c>
      <c r="P17" s="15">
        <v>1400</v>
      </c>
      <c r="Q17" s="15">
        <v>1400</v>
      </c>
      <c r="R17" s="244"/>
      <c r="S17" s="419">
        <f t="shared" si="1"/>
        <v>1400</v>
      </c>
      <c r="T17" s="466"/>
    </row>
    <row r="18" spans="1:20" ht="177" customHeight="1">
      <c r="A18" s="21" t="s">
        <v>764</v>
      </c>
      <c r="B18" s="14" t="s">
        <v>267</v>
      </c>
      <c r="C18" s="13">
        <v>57620</v>
      </c>
      <c r="D18" s="14" t="s">
        <v>274</v>
      </c>
      <c r="E18" s="13" t="s">
        <v>275</v>
      </c>
      <c r="F18" s="57" t="s">
        <v>154</v>
      </c>
      <c r="G18" s="14" t="s">
        <v>765</v>
      </c>
      <c r="H18" s="14" t="s">
        <v>976</v>
      </c>
      <c r="I18" s="14" t="s">
        <v>704</v>
      </c>
      <c r="J18" s="14" t="s">
        <v>31</v>
      </c>
      <c r="K18" s="71" t="s">
        <v>32</v>
      </c>
      <c r="L18" s="71" t="s">
        <v>32</v>
      </c>
      <c r="M18" s="14" t="s">
        <v>272</v>
      </c>
      <c r="N18" s="15">
        <v>6000</v>
      </c>
      <c r="O18" s="71">
        <v>1</v>
      </c>
      <c r="P18" s="15">
        <v>6000</v>
      </c>
      <c r="Q18" s="15">
        <v>6000</v>
      </c>
      <c r="R18" s="244"/>
      <c r="S18" s="419">
        <f t="shared" si="1"/>
        <v>6000</v>
      </c>
      <c r="T18" s="466"/>
    </row>
    <row r="19" spans="1:20" ht="143.15" customHeight="1">
      <c r="A19" s="21" t="s">
        <v>766</v>
      </c>
      <c r="B19" s="14" t="s">
        <v>208</v>
      </c>
      <c r="C19" s="13">
        <v>57705</v>
      </c>
      <c r="D19" s="14" t="s">
        <v>393</v>
      </c>
      <c r="E19" s="13" t="s">
        <v>394</v>
      </c>
      <c r="F19" s="57" t="s">
        <v>154</v>
      </c>
      <c r="G19" s="14" t="s">
        <v>767</v>
      </c>
      <c r="H19" s="14" t="s">
        <v>768</v>
      </c>
      <c r="I19" s="14" t="s">
        <v>769</v>
      </c>
      <c r="J19" s="14" t="s">
        <v>31</v>
      </c>
      <c r="K19" s="71" t="s">
        <v>32</v>
      </c>
      <c r="L19" s="71" t="s">
        <v>32</v>
      </c>
      <c r="M19" s="14" t="s">
        <v>64</v>
      </c>
      <c r="N19" s="15">
        <v>2000</v>
      </c>
      <c r="O19" s="71">
        <v>1</v>
      </c>
      <c r="P19" s="15">
        <v>2000</v>
      </c>
      <c r="Q19" s="15"/>
      <c r="R19" s="19" t="s">
        <v>770</v>
      </c>
      <c r="S19" s="419"/>
      <c r="T19" s="408"/>
    </row>
    <row r="20" spans="1:20" ht="121" customHeight="1">
      <c r="A20" s="21" t="s">
        <v>701</v>
      </c>
      <c r="B20" s="14" t="s">
        <v>267</v>
      </c>
      <c r="C20" s="13">
        <v>55130</v>
      </c>
      <c r="D20" s="14" t="s">
        <v>268</v>
      </c>
      <c r="E20" s="13" t="s">
        <v>269</v>
      </c>
      <c r="F20" s="57" t="s">
        <v>154</v>
      </c>
      <c r="G20" s="14" t="s">
        <v>702</v>
      </c>
      <c r="H20" s="14" t="s">
        <v>703</v>
      </c>
      <c r="I20" s="14" t="s">
        <v>704</v>
      </c>
      <c r="J20" s="14" t="s">
        <v>31</v>
      </c>
      <c r="K20" s="71" t="s">
        <v>33</v>
      </c>
      <c r="L20" s="71" t="s">
        <v>33</v>
      </c>
      <c r="M20" s="14" t="s">
        <v>705</v>
      </c>
      <c r="N20" s="15">
        <v>100000</v>
      </c>
      <c r="O20" s="71">
        <v>1</v>
      </c>
      <c r="P20" s="18">
        <v>100000</v>
      </c>
      <c r="Q20" s="18">
        <v>75000</v>
      </c>
      <c r="R20" s="19" t="s">
        <v>1023</v>
      </c>
      <c r="S20" s="467">
        <f>Q20</f>
        <v>75000</v>
      </c>
      <c r="T20" s="408"/>
    </row>
    <row r="21" spans="1:20" ht="120" customHeight="1">
      <c r="A21" s="13" t="s">
        <v>715</v>
      </c>
      <c r="B21" s="13" t="s">
        <v>131</v>
      </c>
      <c r="C21" s="13">
        <v>57745</v>
      </c>
      <c r="D21" s="14" t="s">
        <v>716</v>
      </c>
      <c r="E21" s="14" t="s">
        <v>717</v>
      </c>
      <c r="F21" s="57" t="s">
        <v>134</v>
      </c>
      <c r="G21" s="14" t="s">
        <v>718</v>
      </c>
      <c r="H21" s="14" t="s">
        <v>719</v>
      </c>
      <c r="I21" s="14" t="s">
        <v>663</v>
      </c>
      <c r="J21" s="14" t="s">
        <v>31</v>
      </c>
      <c r="K21" s="71" t="s">
        <v>32</v>
      </c>
      <c r="L21" s="71" t="s">
        <v>32</v>
      </c>
      <c r="M21" s="14" t="s">
        <v>25</v>
      </c>
      <c r="N21" s="13">
        <v>9500</v>
      </c>
      <c r="O21" s="71">
        <v>1</v>
      </c>
      <c r="P21" s="18">
        <v>9500</v>
      </c>
      <c r="Q21" s="18">
        <v>9500</v>
      </c>
      <c r="R21" s="19"/>
      <c r="S21" s="467">
        <f>Q21</f>
        <v>9500</v>
      </c>
      <c r="T21" s="408"/>
    </row>
    <row r="22" spans="1:20" ht="29.5" customHeight="1">
      <c r="A22" s="250"/>
      <c r="B22" s="251"/>
      <c r="C22" s="246"/>
      <c r="D22" s="251"/>
      <c r="E22" s="246"/>
      <c r="F22" s="350"/>
      <c r="G22" s="251"/>
      <c r="H22" s="251"/>
      <c r="I22" s="251"/>
      <c r="J22" s="252"/>
      <c r="K22" s="354"/>
      <c r="L22" s="355" t="s">
        <v>771</v>
      </c>
      <c r="M22" s="252"/>
      <c r="N22" s="253"/>
      <c r="O22" s="354"/>
      <c r="P22" s="248">
        <f>SUM(P10:P20)</f>
        <v>211900</v>
      </c>
      <c r="Q22" s="248">
        <f>SUM(Q10:Q21)</f>
        <v>201900</v>
      </c>
      <c r="R22" s="254"/>
      <c r="S22" s="431">
        <f>SUM(S10:S21)</f>
        <v>201900</v>
      </c>
      <c r="T22" s="468"/>
    </row>
    <row r="23" spans="1:20">
      <c r="S23" s="469"/>
      <c r="T23" s="469"/>
    </row>
    <row r="24" spans="1:20" ht="40.5" customHeight="1">
      <c r="A24" s="255"/>
      <c r="B24" s="256"/>
      <c r="C24" s="27"/>
      <c r="D24" s="256"/>
      <c r="E24" s="257"/>
      <c r="F24" s="351"/>
      <c r="G24" s="256"/>
      <c r="H24" s="258"/>
      <c r="I24" s="258"/>
      <c r="J24" s="258"/>
      <c r="K24" s="356"/>
      <c r="L24" s="357" t="s">
        <v>772</v>
      </c>
      <c r="M24" s="258"/>
      <c r="N24" s="259"/>
      <c r="O24" s="356"/>
      <c r="P24" s="260">
        <f>P22+P8</f>
        <v>334900</v>
      </c>
      <c r="Q24" s="260">
        <f>Q22+Q8</f>
        <v>324900</v>
      </c>
      <c r="R24" s="259"/>
      <c r="S24" s="470">
        <f>S22+S8</f>
        <v>324900</v>
      </c>
      <c r="T24" s="471"/>
    </row>
    <row r="85" spans="17:19">
      <c r="Q85" s="55"/>
      <c r="S85" s="55"/>
    </row>
    <row r="86" spans="17:19">
      <c r="Q86" s="314"/>
      <c r="S86" s="314"/>
    </row>
    <row r="87" spans="17:19">
      <c r="Q87" s="315"/>
      <c r="S87" s="315"/>
    </row>
    <row r="88" spans="17:19">
      <c r="Q88" s="315"/>
      <c r="S88" s="315"/>
    </row>
    <row r="89" spans="17:19">
      <c r="Q89" s="315"/>
      <c r="S89" s="315"/>
    </row>
    <row r="90" spans="17:19">
      <c r="Q90" s="315"/>
      <c r="S90" s="315"/>
    </row>
    <row r="91" spans="17:19">
      <c r="Q91" s="315"/>
      <c r="S91" s="315"/>
    </row>
    <row r="92" spans="17:19">
      <c r="Q92" s="315"/>
      <c r="S92" s="315"/>
    </row>
    <row r="93" spans="17:19">
      <c r="Q93" s="315"/>
      <c r="S93" s="315"/>
    </row>
    <row r="94" spans="17:19">
      <c r="Q94" s="315"/>
      <c r="S94" s="315"/>
    </row>
    <row r="95" spans="17:19">
      <c r="Q95" s="315"/>
      <c r="S95" s="315"/>
    </row>
    <row r="96" spans="17:19">
      <c r="Q96" s="315"/>
      <c r="S96" s="315"/>
    </row>
    <row r="97" spans="17:19">
      <c r="Q97" s="315"/>
      <c r="S97" s="315"/>
    </row>
    <row r="98" spans="17:19">
      <c r="Q98" s="315"/>
      <c r="S98" s="315"/>
    </row>
    <row r="99" spans="17:19">
      <c r="Q99" s="315"/>
      <c r="S99" s="315"/>
    </row>
    <row r="100" spans="17:19">
      <c r="Q100" s="315"/>
      <c r="S100" s="315"/>
    </row>
    <row r="101" spans="17:19">
      <c r="Q101" s="315"/>
      <c r="S101" s="315"/>
    </row>
    <row r="102" spans="17:19">
      <c r="Q102" s="315"/>
      <c r="S102" s="315"/>
    </row>
  </sheetData>
  <pageMargins left="0.25" right="0.25" top="0.75" bottom="0.75" header="0.3" footer="0.3"/>
  <pageSetup paperSize="5" scale="59" fitToHeight="0" orientation="landscape" r:id="rId1"/>
  <headerFoot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1"/>
  <sheetViews>
    <sheetView zoomScale="80" zoomScaleNormal="80" workbookViewId="0">
      <selection activeCell="A11" sqref="A11"/>
    </sheetView>
  </sheetViews>
  <sheetFormatPr defaultRowHeight="14.5"/>
  <cols>
    <col min="1" max="1" width="12" style="35" customWidth="1"/>
    <col min="2" max="2" width="16.7265625" customWidth="1"/>
    <col min="3" max="3" width="0" hidden="1" customWidth="1"/>
    <col min="4" max="4" width="14.81640625" style="2" hidden="1" customWidth="1"/>
    <col min="5" max="5" width="14.453125" style="2" customWidth="1"/>
    <col min="6" max="6" width="9.1796875" style="226" customWidth="1"/>
    <col min="7" max="7" width="17.81640625" style="2" customWidth="1"/>
    <col min="8" max="8" width="146.1796875" style="2" customWidth="1"/>
    <col min="9" max="9" width="18.1796875" style="2" hidden="1" customWidth="1"/>
    <col min="10" max="10" width="33.453125" style="2" customWidth="1"/>
    <col min="11" max="11" width="10.7265625" hidden="1" customWidth="1"/>
    <col min="12" max="12" width="12.1796875" style="2" customWidth="1"/>
    <col min="13" max="14" width="0" hidden="1" customWidth="1"/>
    <col min="15" max="15" width="12" bestFit="1" customWidth="1"/>
    <col min="16" max="16" width="11.81640625" customWidth="1"/>
    <col min="17" max="17" width="8.1796875" style="36" hidden="1" customWidth="1"/>
    <col min="18" max="18" width="6.453125" bestFit="1" customWidth="1"/>
    <col min="19" max="19" width="11.81640625" customWidth="1"/>
    <col min="20" max="20" width="9.26953125" style="36" customWidth="1"/>
  </cols>
  <sheetData>
    <row r="1" spans="1:20" ht="26.5" customHeight="1">
      <c r="A1" s="261" t="s">
        <v>774</v>
      </c>
      <c r="H1" s="262"/>
    </row>
    <row r="2" spans="1:20" s="7" customFormat="1" ht="54.65" customHeight="1">
      <c r="A2" s="263" t="s">
        <v>1</v>
      </c>
      <c r="B2" s="264" t="s">
        <v>2</v>
      </c>
      <c r="C2" s="265" t="s">
        <v>3</v>
      </c>
      <c r="D2" s="264" t="s">
        <v>4</v>
      </c>
      <c r="E2" s="264" t="s">
        <v>5</v>
      </c>
      <c r="F2" s="264" t="s">
        <v>6</v>
      </c>
      <c r="G2" s="264" t="s">
        <v>7</v>
      </c>
      <c r="H2" s="264" t="s">
        <v>8</v>
      </c>
      <c r="I2" s="264" t="s">
        <v>9</v>
      </c>
      <c r="J2" s="264" t="s">
        <v>471</v>
      </c>
      <c r="K2" s="264" t="s">
        <v>11</v>
      </c>
      <c r="L2" s="264" t="s">
        <v>13</v>
      </c>
      <c r="M2" s="264" t="s">
        <v>658</v>
      </c>
      <c r="N2" s="265" t="s">
        <v>659</v>
      </c>
      <c r="O2" s="264" t="s">
        <v>14</v>
      </c>
      <c r="P2" s="264" t="s">
        <v>1024</v>
      </c>
      <c r="Q2" s="264" t="s">
        <v>775</v>
      </c>
      <c r="R2" s="264" t="s">
        <v>105</v>
      </c>
      <c r="S2" s="281" t="s">
        <v>1012</v>
      </c>
      <c r="T2" s="281" t="s">
        <v>105</v>
      </c>
    </row>
    <row r="3" spans="1:20" ht="76.5" customHeight="1">
      <c r="A3" s="266" t="s">
        <v>776</v>
      </c>
      <c r="B3" s="267" t="s">
        <v>777</v>
      </c>
      <c r="C3" s="266">
        <v>58255</v>
      </c>
      <c r="D3" s="267" t="s">
        <v>778</v>
      </c>
      <c r="E3" s="267" t="s">
        <v>321</v>
      </c>
      <c r="F3" s="359" t="s">
        <v>110</v>
      </c>
      <c r="G3" s="267" t="s">
        <v>779</v>
      </c>
      <c r="H3" s="267" t="s">
        <v>780</v>
      </c>
      <c r="I3" s="267" t="s">
        <v>781</v>
      </c>
      <c r="J3" s="267" t="s">
        <v>113</v>
      </c>
      <c r="K3" s="266" t="s">
        <v>33</v>
      </c>
      <c r="L3" s="267" t="s">
        <v>191</v>
      </c>
      <c r="M3" s="266">
        <v>30000</v>
      </c>
      <c r="N3" s="266">
        <v>1</v>
      </c>
      <c r="O3" s="268">
        <v>30000</v>
      </c>
      <c r="P3" s="268">
        <v>30000</v>
      </c>
      <c r="Q3" s="269">
        <v>1</v>
      </c>
      <c r="R3" s="270">
        <v>1</v>
      </c>
      <c r="S3" s="472">
        <f>P3</f>
        <v>30000</v>
      </c>
      <c r="T3" s="473"/>
    </row>
    <row r="4" spans="1:20" ht="254.5" customHeight="1">
      <c r="A4" s="266" t="s">
        <v>782</v>
      </c>
      <c r="B4" s="267" t="s">
        <v>267</v>
      </c>
      <c r="C4" s="266">
        <v>54110</v>
      </c>
      <c r="D4" s="267" t="s">
        <v>268</v>
      </c>
      <c r="E4" s="267" t="s">
        <v>269</v>
      </c>
      <c r="F4" s="359" t="s">
        <v>154</v>
      </c>
      <c r="G4" s="267" t="s">
        <v>783</v>
      </c>
      <c r="H4" s="267" t="s">
        <v>784</v>
      </c>
      <c r="I4" s="267" t="s">
        <v>781</v>
      </c>
      <c r="J4" s="267" t="s">
        <v>31</v>
      </c>
      <c r="K4" s="266" t="s">
        <v>32</v>
      </c>
      <c r="L4" s="267" t="s">
        <v>53</v>
      </c>
      <c r="M4" s="266">
        <v>3300</v>
      </c>
      <c r="N4" s="266">
        <v>1</v>
      </c>
      <c r="O4" s="268">
        <v>3300</v>
      </c>
      <c r="P4" s="268">
        <v>3000</v>
      </c>
      <c r="Q4" s="269">
        <v>1</v>
      </c>
      <c r="R4" s="270">
        <v>2</v>
      </c>
      <c r="S4" s="472">
        <f>P4</f>
        <v>3000</v>
      </c>
      <c r="T4" s="473"/>
    </row>
    <row r="5" spans="1:20" ht="100" customHeight="1">
      <c r="A5" s="266" t="s">
        <v>785</v>
      </c>
      <c r="B5" s="267" t="s">
        <v>267</v>
      </c>
      <c r="C5" s="266">
        <v>58070</v>
      </c>
      <c r="D5" s="267" t="s">
        <v>274</v>
      </c>
      <c r="E5" s="267" t="s">
        <v>275</v>
      </c>
      <c r="F5" s="359" t="s">
        <v>154</v>
      </c>
      <c r="G5" s="267" t="s">
        <v>786</v>
      </c>
      <c r="H5" s="267" t="s">
        <v>978</v>
      </c>
      <c r="I5" s="267" t="s">
        <v>781</v>
      </c>
      <c r="J5" s="267" t="s">
        <v>31</v>
      </c>
      <c r="K5" s="266" t="s">
        <v>32</v>
      </c>
      <c r="L5" s="267" t="s">
        <v>220</v>
      </c>
      <c r="M5" s="266">
        <v>14000</v>
      </c>
      <c r="N5" s="266">
        <v>1</v>
      </c>
      <c r="O5" s="268">
        <v>14000</v>
      </c>
      <c r="P5" s="268">
        <v>14000</v>
      </c>
      <c r="Q5" s="269">
        <v>3</v>
      </c>
      <c r="R5" s="270">
        <v>3</v>
      </c>
      <c r="S5" s="472">
        <f>P5</f>
        <v>14000</v>
      </c>
      <c r="T5" s="473"/>
    </row>
    <row r="6" spans="1:20" ht="67.5" customHeight="1">
      <c r="A6" s="266" t="s">
        <v>787</v>
      </c>
      <c r="B6" s="267" t="s">
        <v>193</v>
      </c>
      <c r="C6" s="266">
        <v>57600</v>
      </c>
      <c r="D6" s="267" t="s">
        <v>348</v>
      </c>
      <c r="E6" s="267" t="s">
        <v>349</v>
      </c>
      <c r="F6" s="359" t="s">
        <v>154</v>
      </c>
      <c r="G6" s="267" t="s">
        <v>788</v>
      </c>
      <c r="H6" s="267" t="s">
        <v>979</v>
      </c>
      <c r="I6" s="267" t="s">
        <v>781</v>
      </c>
      <c r="J6" s="267" t="s">
        <v>31</v>
      </c>
      <c r="K6" s="266" t="s">
        <v>32</v>
      </c>
      <c r="L6" s="267" t="s">
        <v>25</v>
      </c>
      <c r="M6" s="266">
        <v>22386</v>
      </c>
      <c r="N6" s="266">
        <v>1</v>
      </c>
      <c r="O6" s="268">
        <v>22386</v>
      </c>
      <c r="P6" s="268">
        <f>O6</f>
        <v>22386</v>
      </c>
      <c r="Q6" s="269">
        <v>2</v>
      </c>
      <c r="R6" s="270">
        <v>4</v>
      </c>
      <c r="S6" s="472">
        <f>P6</f>
        <v>22386</v>
      </c>
      <c r="T6" s="473"/>
    </row>
    <row r="7" spans="1:20" ht="81.75" customHeight="1">
      <c r="A7" s="266" t="s">
        <v>789</v>
      </c>
      <c r="B7" s="267" t="s">
        <v>790</v>
      </c>
      <c r="C7" s="266">
        <v>58255</v>
      </c>
      <c r="D7" s="267" t="s">
        <v>791</v>
      </c>
      <c r="E7" s="267" t="s">
        <v>792</v>
      </c>
      <c r="F7" s="359" t="s">
        <v>110</v>
      </c>
      <c r="G7" s="267" t="s">
        <v>793</v>
      </c>
      <c r="H7" s="267" t="s">
        <v>794</v>
      </c>
      <c r="I7" s="267" t="s">
        <v>781</v>
      </c>
      <c r="J7" s="267" t="s">
        <v>370</v>
      </c>
      <c r="K7" s="266" t="s">
        <v>32</v>
      </c>
      <c r="L7" s="267" t="s">
        <v>53</v>
      </c>
      <c r="M7" s="266">
        <v>8600</v>
      </c>
      <c r="N7" s="266">
        <v>1</v>
      </c>
      <c r="O7" s="268">
        <v>8600</v>
      </c>
      <c r="P7" s="268"/>
      <c r="Q7" s="269">
        <v>2</v>
      </c>
      <c r="R7" s="270">
        <v>5</v>
      </c>
      <c r="S7" s="472"/>
      <c r="T7" s="473"/>
    </row>
    <row r="8" spans="1:20" ht="62.5" customHeight="1">
      <c r="A8" s="266" t="s">
        <v>795</v>
      </c>
      <c r="B8" s="267" t="s">
        <v>267</v>
      </c>
      <c r="C8" s="266">
        <v>55130</v>
      </c>
      <c r="D8" s="267" t="s">
        <v>691</v>
      </c>
      <c r="E8" s="267" t="s">
        <v>692</v>
      </c>
      <c r="F8" s="359" t="s">
        <v>154</v>
      </c>
      <c r="G8" s="267" t="s">
        <v>796</v>
      </c>
      <c r="H8" s="267" t="s">
        <v>797</v>
      </c>
      <c r="I8" s="267" t="s">
        <v>781</v>
      </c>
      <c r="J8" s="267" t="s">
        <v>31</v>
      </c>
      <c r="K8" s="266" t="s">
        <v>32</v>
      </c>
      <c r="L8" s="267" t="s">
        <v>53</v>
      </c>
      <c r="M8" s="266">
        <v>18000</v>
      </c>
      <c r="N8" s="266">
        <v>1</v>
      </c>
      <c r="O8" s="268">
        <v>18000</v>
      </c>
      <c r="P8" s="268"/>
      <c r="Q8" s="269">
        <v>4</v>
      </c>
      <c r="R8" s="270">
        <v>6</v>
      </c>
      <c r="S8" s="472"/>
      <c r="T8" s="473"/>
    </row>
    <row r="9" spans="1:20" ht="116.15" customHeight="1">
      <c r="A9" s="266" t="s">
        <v>798</v>
      </c>
      <c r="B9" s="267" t="s">
        <v>193</v>
      </c>
      <c r="C9" s="266">
        <v>57600</v>
      </c>
      <c r="D9" s="267" t="s">
        <v>348</v>
      </c>
      <c r="E9" s="267" t="s">
        <v>349</v>
      </c>
      <c r="F9" s="359" t="s">
        <v>154</v>
      </c>
      <c r="G9" s="267" t="s">
        <v>799</v>
      </c>
      <c r="H9" s="267" t="s">
        <v>800</v>
      </c>
      <c r="I9" s="267" t="s">
        <v>781</v>
      </c>
      <c r="J9" s="267" t="s">
        <v>31</v>
      </c>
      <c r="K9" s="266" t="s">
        <v>32</v>
      </c>
      <c r="L9" s="267" t="s">
        <v>53</v>
      </c>
      <c r="M9" s="266">
        <v>52000</v>
      </c>
      <c r="N9" s="266">
        <v>1</v>
      </c>
      <c r="O9" s="268">
        <v>52000</v>
      </c>
      <c r="P9" s="268"/>
      <c r="Q9" s="269">
        <v>5</v>
      </c>
      <c r="R9" s="270">
        <v>7</v>
      </c>
      <c r="S9" s="472"/>
      <c r="T9" s="473"/>
    </row>
    <row r="10" spans="1:20" ht="23.15" customHeight="1">
      <c r="A10" s="271"/>
      <c r="B10" s="272"/>
      <c r="C10" s="272"/>
      <c r="D10" s="273"/>
      <c r="E10" s="273"/>
      <c r="F10" s="360"/>
      <c r="G10" s="273"/>
      <c r="H10" s="273"/>
      <c r="I10" s="273"/>
      <c r="J10" s="273"/>
      <c r="K10" s="272"/>
      <c r="L10" s="274" t="s">
        <v>598</v>
      </c>
      <c r="M10" s="275"/>
      <c r="N10" s="275"/>
      <c r="O10" s="276">
        <f>SUM(O3:O9)</f>
        <v>148286</v>
      </c>
      <c r="P10" s="276">
        <f>SUM(P3:P9)</f>
        <v>69386</v>
      </c>
      <c r="Q10" s="277"/>
      <c r="R10" s="278"/>
      <c r="S10" s="276">
        <f>SUM(S3:S9)</f>
        <v>69386</v>
      </c>
      <c r="T10" s="277"/>
    </row>
    <row r="84" spans="17:20">
      <c r="Q84" s="55"/>
      <c r="T84" s="55"/>
    </row>
    <row r="85" spans="17:20">
      <c r="Q85" s="314"/>
      <c r="T85" s="314"/>
    </row>
    <row r="86" spans="17:20">
      <c r="Q86" s="315"/>
      <c r="T86" s="315"/>
    </row>
    <row r="87" spans="17:20">
      <c r="Q87" s="315"/>
      <c r="T87" s="315"/>
    </row>
    <row r="88" spans="17:20">
      <c r="Q88" s="315"/>
      <c r="T88" s="315"/>
    </row>
    <row r="89" spans="17:20">
      <c r="Q89" s="315"/>
      <c r="T89" s="315"/>
    </row>
    <row r="90" spans="17:20">
      <c r="Q90" s="315"/>
      <c r="T90" s="315"/>
    </row>
    <row r="91" spans="17:20">
      <c r="Q91" s="315"/>
      <c r="T91" s="315"/>
    </row>
    <row r="92" spans="17:20">
      <c r="Q92" s="315"/>
      <c r="T92" s="315"/>
    </row>
    <row r="93" spans="17:20">
      <c r="Q93" s="315"/>
      <c r="T93" s="315"/>
    </row>
    <row r="94" spans="17:20">
      <c r="Q94" s="315"/>
      <c r="T94" s="315"/>
    </row>
    <row r="95" spans="17:20">
      <c r="Q95" s="315"/>
      <c r="T95" s="315"/>
    </row>
    <row r="96" spans="17:20">
      <c r="Q96" s="315"/>
      <c r="T96" s="315"/>
    </row>
    <row r="97" spans="17:20">
      <c r="Q97" s="315"/>
      <c r="T97" s="315"/>
    </row>
    <row r="98" spans="17:20">
      <c r="Q98" s="315"/>
      <c r="T98" s="315"/>
    </row>
    <row r="99" spans="17:20">
      <c r="Q99" s="315"/>
      <c r="T99" s="315"/>
    </row>
    <row r="100" spans="17:20">
      <c r="Q100" s="315"/>
      <c r="T100" s="315"/>
    </row>
    <row r="101" spans="17:20">
      <c r="Q101" s="315"/>
      <c r="T101" s="315"/>
    </row>
  </sheetData>
  <pageMargins left="0.25" right="0.25" top="0.75" bottom="0.75" header="0.3" footer="0.3"/>
  <pageSetup paperSize="5" scale="55" fitToHeight="0" orientation="landscape"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18" sqref="C18"/>
    </sheetView>
  </sheetViews>
  <sheetFormatPr defaultRowHeight="14.5"/>
  <cols>
    <col min="1" max="1" width="61" customWidth="1"/>
    <col min="3" max="3" width="12.54296875" bestFit="1" customWidth="1"/>
  </cols>
  <sheetData>
    <row r="1" spans="1:3">
      <c r="A1" s="499" t="s">
        <v>1053</v>
      </c>
      <c r="B1" s="500"/>
      <c r="C1" s="500"/>
    </row>
    <row r="3" spans="1:3">
      <c r="A3" t="s">
        <v>1056</v>
      </c>
    </row>
    <row r="4" spans="1:3">
      <c r="A4" t="s">
        <v>600</v>
      </c>
      <c r="C4" s="105">
        <v>5000</v>
      </c>
    </row>
    <row r="5" spans="1:3">
      <c r="A5" t="s">
        <v>601</v>
      </c>
      <c r="C5" s="106">
        <v>50000</v>
      </c>
    </row>
    <row r="6" spans="1:3">
      <c r="A6" t="s">
        <v>640</v>
      </c>
      <c r="C6" s="106">
        <v>5000</v>
      </c>
    </row>
    <row r="7" spans="1:3">
      <c r="A7" s="497" t="s">
        <v>1051</v>
      </c>
      <c r="C7" s="105">
        <f>SUM(C4:C6)</f>
        <v>60000</v>
      </c>
    </row>
    <row r="8" spans="1:3">
      <c r="A8" t="s">
        <v>1048</v>
      </c>
      <c r="C8" s="105"/>
    </row>
    <row r="9" spans="1:3">
      <c r="A9" s="496" t="s">
        <v>1050</v>
      </c>
      <c r="C9" s="105">
        <v>57026</v>
      </c>
    </row>
    <row r="10" spans="1:3">
      <c r="A10" s="496" t="s">
        <v>1049</v>
      </c>
      <c r="C10" s="106">
        <v>99618</v>
      </c>
    </row>
    <row r="11" spans="1:3">
      <c r="A11" s="496" t="s">
        <v>1052</v>
      </c>
      <c r="C11" s="106">
        <v>38088</v>
      </c>
    </row>
    <row r="12" spans="1:3">
      <c r="A12" s="497" t="s">
        <v>1051</v>
      </c>
      <c r="C12" s="105">
        <f>SUM(C9:C11)</f>
        <v>194732</v>
      </c>
    </row>
    <row r="13" spans="1:3">
      <c r="C13" s="105"/>
    </row>
    <row r="14" spans="1:3">
      <c r="A14" t="s">
        <v>1054</v>
      </c>
      <c r="C14" s="105"/>
    </row>
    <row r="15" spans="1:3">
      <c r="A15" s="496" t="s">
        <v>1055</v>
      </c>
      <c r="C15" s="105">
        <v>7167</v>
      </c>
    </row>
    <row r="16" spans="1:3">
      <c r="A16" s="497" t="s">
        <v>1051</v>
      </c>
      <c r="C16" s="105">
        <f>SUM(C15)</f>
        <v>7167</v>
      </c>
    </row>
    <row r="17" spans="1:3">
      <c r="A17" s="498"/>
      <c r="C17" s="105"/>
    </row>
    <row r="18" spans="1:3">
      <c r="A18" s="499" t="s">
        <v>598</v>
      </c>
      <c r="B18" s="500"/>
      <c r="C18" s="501">
        <f>C16+C12+C7</f>
        <v>261899</v>
      </c>
    </row>
    <row r="19" spans="1:3">
      <c r="A19" s="496"/>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2"/>
  <sheetViews>
    <sheetView topLeftCell="A21" zoomScale="90" zoomScaleNormal="90" workbookViewId="0">
      <selection activeCell="G21" sqref="G21"/>
    </sheetView>
  </sheetViews>
  <sheetFormatPr defaultRowHeight="14.5"/>
  <cols>
    <col min="1" max="1" width="11" style="35" customWidth="1"/>
    <col min="2" max="2" width="12.54296875" style="2" customWidth="1"/>
    <col min="3" max="3" width="0" hidden="1" customWidth="1"/>
    <col min="4" max="4" width="18.54296875" style="2" hidden="1" customWidth="1"/>
    <col min="5" max="5" width="15.54296875" style="2" customWidth="1"/>
    <col min="6" max="6" width="8.453125" style="38" bestFit="1" customWidth="1"/>
    <col min="7" max="7" width="15.453125" style="2" customWidth="1"/>
    <col min="8" max="8" width="77.7265625" style="2" customWidth="1"/>
    <col min="9" max="9" width="15.26953125" style="2" customWidth="1"/>
    <col min="10" max="10" width="19.26953125" style="2" customWidth="1"/>
    <col min="11" max="11" width="9.54296875" style="36" bestFit="1" customWidth="1"/>
    <col min="12" max="12" width="10.54296875" style="36" hidden="1" customWidth="1"/>
    <col min="13" max="13" width="11.453125" style="2" customWidth="1"/>
    <col min="14" max="14" width="10.26953125" customWidth="1"/>
    <col min="15" max="15" width="8.81640625" style="36" customWidth="1"/>
    <col min="16" max="17" width="11" customWidth="1"/>
    <col min="18" max="18" width="8.54296875" customWidth="1"/>
    <col min="19" max="19" width="11" customWidth="1"/>
    <col min="20" max="20" width="8.54296875" customWidth="1"/>
  </cols>
  <sheetData>
    <row r="1" spans="1:20" ht="33" customHeight="1">
      <c r="A1" s="231" t="s">
        <v>801</v>
      </c>
    </row>
    <row r="2" spans="1:20" s="7" customFormat="1" ht="58">
      <c r="A2" s="279" t="s">
        <v>1</v>
      </c>
      <c r="B2" s="280" t="s">
        <v>2</v>
      </c>
      <c r="C2" s="279" t="s">
        <v>3</v>
      </c>
      <c r="D2" s="280" t="s">
        <v>4</v>
      </c>
      <c r="E2" s="280" t="s">
        <v>5</v>
      </c>
      <c r="F2" s="281" t="s">
        <v>6</v>
      </c>
      <c r="G2" s="280" t="s">
        <v>7</v>
      </c>
      <c r="H2" s="280" t="s">
        <v>8</v>
      </c>
      <c r="I2" s="280" t="s">
        <v>9</v>
      </c>
      <c r="J2" s="280" t="s">
        <v>10</v>
      </c>
      <c r="K2" s="281" t="s">
        <v>11</v>
      </c>
      <c r="L2" s="281" t="s">
        <v>12</v>
      </c>
      <c r="M2" s="280" t="s">
        <v>13</v>
      </c>
      <c r="N2" s="280" t="s">
        <v>658</v>
      </c>
      <c r="O2" s="361" t="s">
        <v>659</v>
      </c>
      <c r="P2" s="280" t="s">
        <v>14</v>
      </c>
      <c r="Q2" s="281" t="s">
        <v>1025</v>
      </c>
      <c r="R2" s="281" t="s">
        <v>105</v>
      </c>
      <c r="S2" s="281" t="s">
        <v>1012</v>
      </c>
      <c r="T2" s="281" t="s">
        <v>105</v>
      </c>
    </row>
    <row r="3" spans="1:20" ht="87">
      <c r="A3" s="13" t="s">
        <v>802</v>
      </c>
      <c r="B3" s="14" t="s">
        <v>290</v>
      </c>
      <c r="C3" s="13">
        <v>57745</v>
      </c>
      <c r="D3" s="14" t="s">
        <v>674</v>
      </c>
      <c r="E3" s="14" t="s">
        <v>675</v>
      </c>
      <c r="F3" s="57" t="s">
        <v>154</v>
      </c>
      <c r="G3" s="14" t="s">
        <v>803</v>
      </c>
      <c r="H3" s="14" t="s">
        <v>804</v>
      </c>
      <c r="I3" s="14" t="s">
        <v>805</v>
      </c>
      <c r="J3" s="14" t="s">
        <v>31</v>
      </c>
      <c r="K3" s="71" t="s">
        <v>32</v>
      </c>
      <c r="L3" s="71" t="s">
        <v>32</v>
      </c>
      <c r="M3" s="14" t="s">
        <v>53</v>
      </c>
      <c r="N3" s="15">
        <v>8200</v>
      </c>
      <c r="O3" s="71">
        <v>1</v>
      </c>
      <c r="P3" s="15">
        <v>8200</v>
      </c>
      <c r="Q3" s="15"/>
      <c r="R3" s="13"/>
      <c r="S3" s="419"/>
      <c r="T3" s="418"/>
    </row>
    <row r="4" spans="1:20" ht="246.5">
      <c r="A4" s="13" t="s">
        <v>806</v>
      </c>
      <c r="B4" s="14" t="s">
        <v>182</v>
      </c>
      <c r="C4" s="13">
        <v>53110</v>
      </c>
      <c r="D4" s="14" t="s">
        <v>183</v>
      </c>
      <c r="E4" s="14" t="s">
        <v>184</v>
      </c>
      <c r="F4" s="57" t="s">
        <v>154</v>
      </c>
      <c r="G4" s="14" t="s">
        <v>807</v>
      </c>
      <c r="H4" s="14" t="s">
        <v>808</v>
      </c>
      <c r="I4" s="14" t="s">
        <v>805</v>
      </c>
      <c r="J4" s="14" t="s">
        <v>31</v>
      </c>
      <c r="K4" s="71" t="s">
        <v>32</v>
      </c>
      <c r="L4" s="71" t="s">
        <v>32</v>
      </c>
      <c r="M4" s="14" t="s">
        <v>705</v>
      </c>
      <c r="N4" s="15">
        <v>85000</v>
      </c>
      <c r="O4" s="71">
        <v>1</v>
      </c>
      <c r="P4" s="15">
        <v>85000</v>
      </c>
      <c r="Q4" s="15"/>
      <c r="R4" s="13"/>
      <c r="S4" s="419"/>
      <c r="T4" s="418"/>
    </row>
    <row r="5" spans="1:20" ht="248.15" customHeight="1">
      <c r="A5" s="13" t="s">
        <v>809</v>
      </c>
      <c r="B5" s="14" t="s">
        <v>182</v>
      </c>
      <c r="C5" s="13">
        <v>53110</v>
      </c>
      <c r="D5" s="14" t="s">
        <v>183</v>
      </c>
      <c r="E5" s="14" t="s">
        <v>184</v>
      </c>
      <c r="F5" s="57" t="s">
        <v>154</v>
      </c>
      <c r="G5" s="14" t="s">
        <v>810</v>
      </c>
      <c r="H5" s="14" t="s">
        <v>811</v>
      </c>
      <c r="I5" s="14" t="s">
        <v>805</v>
      </c>
      <c r="J5" s="14" t="s">
        <v>370</v>
      </c>
      <c r="K5" s="71" t="s">
        <v>32</v>
      </c>
      <c r="L5" s="71" t="s">
        <v>32</v>
      </c>
      <c r="M5" s="14" t="s">
        <v>812</v>
      </c>
      <c r="N5" s="15">
        <v>100000</v>
      </c>
      <c r="O5" s="71">
        <v>1</v>
      </c>
      <c r="P5" s="15">
        <v>100000</v>
      </c>
      <c r="Q5" s="15"/>
      <c r="R5" s="13"/>
      <c r="S5" s="419"/>
      <c r="T5" s="418"/>
    </row>
    <row r="6" spans="1:20" ht="87">
      <c r="A6" s="13" t="s">
        <v>813</v>
      </c>
      <c r="B6" s="14" t="s">
        <v>193</v>
      </c>
      <c r="C6" s="13">
        <v>57865</v>
      </c>
      <c r="D6" s="14" t="s">
        <v>366</v>
      </c>
      <c r="E6" s="14" t="s">
        <v>367</v>
      </c>
      <c r="F6" s="57" t="s">
        <v>154</v>
      </c>
      <c r="G6" s="14" t="s">
        <v>814</v>
      </c>
      <c r="H6" s="14" t="s">
        <v>815</v>
      </c>
      <c r="I6" s="14" t="s">
        <v>805</v>
      </c>
      <c r="J6" s="14" t="s">
        <v>158</v>
      </c>
      <c r="K6" s="71" t="s">
        <v>33</v>
      </c>
      <c r="L6" s="71" t="s">
        <v>32</v>
      </c>
      <c r="M6" s="14" t="s">
        <v>53</v>
      </c>
      <c r="N6" s="15">
        <v>10000</v>
      </c>
      <c r="O6" s="71">
        <v>3</v>
      </c>
      <c r="P6" s="15">
        <v>30000</v>
      </c>
      <c r="Q6" s="15"/>
      <c r="R6" s="13"/>
      <c r="S6" s="419"/>
      <c r="T6" s="418"/>
    </row>
    <row r="7" spans="1:20" ht="118.5" customHeight="1">
      <c r="A7" s="13" t="s">
        <v>816</v>
      </c>
      <c r="B7" s="14" t="s">
        <v>208</v>
      </c>
      <c r="C7" s="13">
        <v>57940</v>
      </c>
      <c r="D7" s="14" t="s">
        <v>393</v>
      </c>
      <c r="E7" s="14" t="s">
        <v>394</v>
      </c>
      <c r="F7" s="57" t="s">
        <v>154</v>
      </c>
      <c r="G7" s="14" t="s">
        <v>817</v>
      </c>
      <c r="H7" s="14" t="s">
        <v>818</v>
      </c>
      <c r="I7" s="14" t="s">
        <v>805</v>
      </c>
      <c r="J7" s="14" t="s">
        <v>31</v>
      </c>
      <c r="K7" s="71" t="s">
        <v>32</v>
      </c>
      <c r="L7" s="71" t="s">
        <v>32</v>
      </c>
      <c r="M7" s="14" t="s">
        <v>64</v>
      </c>
      <c r="N7" s="15">
        <v>500</v>
      </c>
      <c r="O7" s="71">
        <v>55</v>
      </c>
      <c r="P7" s="15">
        <v>27500</v>
      </c>
      <c r="Q7" s="15"/>
      <c r="R7" s="13"/>
      <c r="S7" s="419"/>
      <c r="T7" s="418"/>
    </row>
    <row r="8" spans="1:20" ht="118.5" customHeight="1">
      <c r="A8" s="13" t="s">
        <v>819</v>
      </c>
      <c r="B8" s="14" t="s">
        <v>208</v>
      </c>
      <c r="C8" s="13">
        <v>57940</v>
      </c>
      <c r="D8" s="14" t="s">
        <v>393</v>
      </c>
      <c r="E8" s="14" t="s">
        <v>394</v>
      </c>
      <c r="F8" s="57" t="s">
        <v>154</v>
      </c>
      <c r="G8" s="14" t="s">
        <v>820</v>
      </c>
      <c r="H8" s="14" t="s">
        <v>821</v>
      </c>
      <c r="I8" s="14" t="s">
        <v>805</v>
      </c>
      <c r="J8" s="14" t="s">
        <v>31</v>
      </c>
      <c r="K8" s="71" t="s">
        <v>32</v>
      </c>
      <c r="L8" s="71" t="s">
        <v>32</v>
      </c>
      <c r="M8" s="14" t="s">
        <v>64</v>
      </c>
      <c r="N8" s="15">
        <v>500</v>
      </c>
      <c r="O8" s="71">
        <v>10</v>
      </c>
      <c r="P8" s="15">
        <v>5000</v>
      </c>
      <c r="Q8" s="15"/>
      <c r="R8" s="13"/>
      <c r="S8" s="419"/>
      <c r="T8" s="418"/>
    </row>
    <row r="9" spans="1:20" ht="87">
      <c r="A9" s="13" t="s">
        <v>822</v>
      </c>
      <c r="B9" s="14" t="s">
        <v>748</v>
      </c>
      <c r="C9" s="13">
        <v>53110</v>
      </c>
      <c r="D9" s="14" t="s">
        <v>749</v>
      </c>
      <c r="E9" s="14" t="s">
        <v>750</v>
      </c>
      <c r="F9" s="57" t="s">
        <v>154</v>
      </c>
      <c r="G9" s="14" t="s">
        <v>823</v>
      </c>
      <c r="H9" s="14" t="s">
        <v>824</v>
      </c>
      <c r="I9" s="14" t="s">
        <v>805</v>
      </c>
      <c r="J9" s="14" t="s">
        <v>31</v>
      </c>
      <c r="K9" s="71" t="s">
        <v>32</v>
      </c>
      <c r="L9" s="71" t="s">
        <v>32</v>
      </c>
      <c r="M9" s="14" t="s">
        <v>220</v>
      </c>
      <c r="N9" s="15">
        <v>15000</v>
      </c>
      <c r="O9" s="71">
        <v>5</v>
      </c>
      <c r="P9" s="15">
        <v>75000</v>
      </c>
      <c r="Q9" s="15"/>
      <c r="R9" s="13"/>
      <c r="S9" s="419"/>
      <c r="T9" s="418"/>
    </row>
    <row r="10" spans="1:20" ht="87">
      <c r="A10" s="13" t="s">
        <v>825</v>
      </c>
      <c r="B10" s="14" t="s">
        <v>748</v>
      </c>
      <c r="C10" s="13">
        <v>53110</v>
      </c>
      <c r="D10" s="14" t="s">
        <v>749</v>
      </c>
      <c r="E10" s="14" t="s">
        <v>750</v>
      </c>
      <c r="F10" s="57" t="s">
        <v>154</v>
      </c>
      <c r="G10" s="14" t="s">
        <v>826</v>
      </c>
      <c r="H10" s="14" t="s">
        <v>827</v>
      </c>
      <c r="I10" s="14" t="s">
        <v>805</v>
      </c>
      <c r="J10" s="14" t="s">
        <v>31</v>
      </c>
      <c r="K10" s="71" t="s">
        <v>32</v>
      </c>
      <c r="L10" s="71" t="s">
        <v>32</v>
      </c>
      <c r="M10" s="14" t="s">
        <v>53</v>
      </c>
      <c r="N10" s="15">
        <v>25000</v>
      </c>
      <c r="O10" s="71">
        <v>1</v>
      </c>
      <c r="P10" s="15">
        <v>25000</v>
      </c>
      <c r="Q10" s="15"/>
      <c r="R10" s="13"/>
      <c r="S10" s="419"/>
      <c r="T10" s="418"/>
    </row>
    <row r="11" spans="1:20" ht="87">
      <c r="A11" s="13" t="s">
        <v>828</v>
      </c>
      <c r="B11" s="14" t="s">
        <v>748</v>
      </c>
      <c r="C11" s="13">
        <v>57940</v>
      </c>
      <c r="D11" s="14" t="s">
        <v>749</v>
      </c>
      <c r="E11" s="14" t="s">
        <v>750</v>
      </c>
      <c r="F11" s="57" t="s">
        <v>154</v>
      </c>
      <c r="G11" s="14" t="s">
        <v>829</v>
      </c>
      <c r="H11" s="14" t="s">
        <v>830</v>
      </c>
      <c r="I11" s="14" t="s">
        <v>805</v>
      </c>
      <c r="J11" s="14" t="s">
        <v>158</v>
      </c>
      <c r="K11" s="71" t="s">
        <v>32</v>
      </c>
      <c r="L11" s="71" t="s">
        <v>32</v>
      </c>
      <c r="M11" s="14" t="s">
        <v>53</v>
      </c>
      <c r="N11" s="15">
        <v>500</v>
      </c>
      <c r="O11" s="71">
        <v>4</v>
      </c>
      <c r="P11" s="15">
        <v>2000</v>
      </c>
      <c r="Q11" s="15"/>
      <c r="R11" s="13"/>
      <c r="S11" s="419"/>
      <c r="T11" s="418"/>
    </row>
    <row r="12" spans="1:20" ht="87">
      <c r="A12" s="13" t="s">
        <v>831</v>
      </c>
      <c r="B12" s="14" t="s">
        <v>748</v>
      </c>
      <c r="C12" s="13">
        <v>53110</v>
      </c>
      <c r="D12" s="14" t="s">
        <v>749</v>
      </c>
      <c r="E12" s="14" t="s">
        <v>750</v>
      </c>
      <c r="F12" s="57" t="s">
        <v>154</v>
      </c>
      <c r="G12" s="14" t="s">
        <v>832</v>
      </c>
      <c r="H12" s="14" t="s">
        <v>833</v>
      </c>
      <c r="I12" s="14" t="s">
        <v>805</v>
      </c>
      <c r="J12" s="14" t="s">
        <v>158</v>
      </c>
      <c r="K12" s="71" t="s">
        <v>32</v>
      </c>
      <c r="L12" s="71" t="s">
        <v>32</v>
      </c>
      <c r="M12" s="14" t="s">
        <v>53</v>
      </c>
      <c r="N12" s="15">
        <v>12000</v>
      </c>
      <c r="O12" s="71">
        <v>1</v>
      </c>
      <c r="P12" s="15">
        <v>12000</v>
      </c>
      <c r="Q12" s="15"/>
      <c r="R12" s="13"/>
      <c r="S12" s="419"/>
      <c r="T12" s="418"/>
    </row>
    <row r="13" spans="1:20" ht="87">
      <c r="A13" s="13" t="s">
        <v>834</v>
      </c>
      <c r="B13" s="14" t="s">
        <v>748</v>
      </c>
      <c r="C13" s="13">
        <v>57940</v>
      </c>
      <c r="D13" s="14" t="s">
        <v>749</v>
      </c>
      <c r="E13" s="14" t="s">
        <v>750</v>
      </c>
      <c r="F13" s="57" t="s">
        <v>154</v>
      </c>
      <c r="G13" s="14" t="s">
        <v>835</v>
      </c>
      <c r="H13" s="14" t="s">
        <v>836</v>
      </c>
      <c r="I13" s="14" t="s">
        <v>805</v>
      </c>
      <c r="J13" s="14" t="s">
        <v>158</v>
      </c>
      <c r="K13" s="71" t="s">
        <v>32</v>
      </c>
      <c r="L13" s="71" t="s">
        <v>32</v>
      </c>
      <c r="M13" s="14" t="s">
        <v>53</v>
      </c>
      <c r="N13" s="15">
        <v>2500</v>
      </c>
      <c r="O13" s="71">
        <v>22</v>
      </c>
      <c r="P13" s="15">
        <v>55000</v>
      </c>
      <c r="Q13" s="15"/>
      <c r="R13" s="13"/>
      <c r="S13" s="419"/>
      <c r="T13" s="418"/>
    </row>
    <row r="14" spans="1:20" ht="87">
      <c r="A14" s="13" t="s">
        <v>837</v>
      </c>
      <c r="B14" s="14" t="s">
        <v>748</v>
      </c>
      <c r="C14" s="13">
        <v>53110</v>
      </c>
      <c r="D14" s="14" t="s">
        <v>749</v>
      </c>
      <c r="E14" s="14" t="s">
        <v>750</v>
      </c>
      <c r="F14" s="57" t="s">
        <v>154</v>
      </c>
      <c r="G14" s="14" t="s">
        <v>838</v>
      </c>
      <c r="H14" s="14" t="s">
        <v>839</v>
      </c>
      <c r="I14" s="14" t="s">
        <v>805</v>
      </c>
      <c r="J14" s="14" t="s">
        <v>158</v>
      </c>
      <c r="K14" s="71" t="s">
        <v>32</v>
      </c>
      <c r="L14" s="71" t="s">
        <v>32</v>
      </c>
      <c r="M14" s="14" t="s">
        <v>53</v>
      </c>
      <c r="N14" s="15">
        <v>5000</v>
      </c>
      <c r="O14" s="71">
        <v>2</v>
      </c>
      <c r="P14" s="15">
        <v>10000</v>
      </c>
      <c r="Q14" s="15"/>
      <c r="R14" s="13"/>
      <c r="S14" s="419"/>
      <c r="T14" s="418"/>
    </row>
    <row r="15" spans="1:20" ht="87">
      <c r="A15" s="13" t="s">
        <v>840</v>
      </c>
      <c r="B15" s="14" t="s">
        <v>267</v>
      </c>
      <c r="C15" s="13">
        <v>55130</v>
      </c>
      <c r="D15" s="14" t="s">
        <v>268</v>
      </c>
      <c r="E15" s="14" t="s">
        <v>269</v>
      </c>
      <c r="F15" s="57" t="s">
        <v>154</v>
      </c>
      <c r="G15" s="14" t="s">
        <v>841</v>
      </c>
      <c r="H15" s="14" t="s">
        <v>842</v>
      </c>
      <c r="I15" s="14" t="s">
        <v>805</v>
      </c>
      <c r="J15" s="14" t="s">
        <v>31</v>
      </c>
      <c r="K15" s="71" t="s">
        <v>32</v>
      </c>
      <c r="L15" s="71" t="s">
        <v>32</v>
      </c>
      <c r="M15" s="14" t="s">
        <v>272</v>
      </c>
      <c r="N15" s="15">
        <v>20000</v>
      </c>
      <c r="O15" s="71">
        <v>1</v>
      </c>
      <c r="P15" s="15">
        <v>20000</v>
      </c>
      <c r="Q15" s="15"/>
      <c r="R15" s="13"/>
      <c r="S15" s="419"/>
      <c r="T15" s="418"/>
    </row>
    <row r="16" spans="1:20" ht="101.5">
      <c r="A16" s="13" t="s">
        <v>843</v>
      </c>
      <c r="B16" s="14" t="s">
        <v>267</v>
      </c>
      <c r="C16" s="13">
        <v>55130</v>
      </c>
      <c r="D16" s="14" t="s">
        <v>691</v>
      </c>
      <c r="E16" s="14" t="s">
        <v>692</v>
      </c>
      <c r="F16" s="57" t="s">
        <v>154</v>
      </c>
      <c r="G16" s="14" t="s">
        <v>844</v>
      </c>
      <c r="H16" s="14" t="s">
        <v>845</v>
      </c>
      <c r="I16" s="14" t="s">
        <v>805</v>
      </c>
      <c r="J16" s="14" t="s">
        <v>31</v>
      </c>
      <c r="K16" s="71" t="s">
        <v>32</v>
      </c>
      <c r="L16" s="71" t="s">
        <v>32</v>
      </c>
      <c r="M16" s="14" t="s">
        <v>64</v>
      </c>
      <c r="N16" s="15">
        <v>50000</v>
      </c>
      <c r="O16" s="71">
        <v>1</v>
      </c>
      <c r="P16" s="15">
        <v>50000</v>
      </c>
      <c r="Q16" s="15"/>
      <c r="R16" s="13"/>
      <c r="S16" s="419"/>
      <c r="T16" s="418"/>
    </row>
    <row r="17" spans="1:20" ht="90" customHeight="1">
      <c r="A17" s="13" t="s">
        <v>846</v>
      </c>
      <c r="B17" s="14" t="s">
        <v>267</v>
      </c>
      <c r="C17" s="13">
        <v>55130</v>
      </c>
      <c r="D17" s="14" t="s">
        <v>691</v>
      </c>
      <c r="E17" s="14" t="s">
        <v>692</v>
      </c>
      <c r="F17" s="57" t="s">
        <v>154</v>
      </c>
      <c r="G17" s="14" t="s">
        <v>847</v>
      </c>
      <c r="H17" s="14" t="s">
        <v>848</v>
      </c>
      <c r="I17" s="14" t="s">
        <v>805</v>
      </c>
      <c r="J17" s="14" t="s">
        <v>31</v>
      </c>
      <c r="K17" s="71" t="s">
        <v>32</v>
      </c>
      <c r="L17" s="71" t="s">
        <v>32</v>
      </c>
      <c r="M17" s="14" t="s">
        <v>64</v>
      </c>
      <c r="N17" s="15">
        <v>50000</v>
      </c>
      <c r="O17" s="71">
        <v>1</v>
      </c>
      <c r="P17" s="15">
        <v>50000</v>
      </c>
      <c r="Q17" s="15"/>
      <c r="R17" s="13"/>
      <c r="S17" s="419"/>
      <c r="T17" s="418"/>
    </row>
    <row r="18" spans="1:20" ht="89.25" customHeight="1">
      <c r="A18" s="13" t="s">
        <v>849</v>
      </c>
      <c r="B18" s="14" t="s">
        <v>267</v>
      </c>
      <c r="C18" s="13">
        <v>55130</v>
      </c>
      <c r="D18" s="14" t="s">
        <v>691</v>
      </c>
      <c r="E18" s="14" t="s">
        <v>692</v>
      </c>
      <c r="F18" s="57" t="s">
        <v>154</v>
      </c>
      <c r="G18" s="14" t="s">
        <v>850</v>
      </c>
      <c r="H18" s="14" t="s">
        <v>851</v>
      </c>
      <c r="I18" s="14" t="s">
        <v>805</v>
      </c>
      <c r="J18" s="14" t="s">
        <v>31</v>
      </c>
      <c r="K18" s="71" t="s">
        <v>32</v>
      </c>
      <c r="L18" s="57" t="s">
        <v>32</v>
      </c>
      <c r="M18" s="14" t="s">
        <v>64</v>
      </c>
      <c r="N18" s="15">
        <v>75000</v>
      </c>
      <c r="O18" s="71">
        <v>1</v>
      </c>
      <c r="P18" s="15">
        <v>75000</v>
      </c>
      <c r="Q18" s="15"/>
      <c r="R18" s="13"/>
      <c r="S18" s="419"/>
      <c r="T18" s="418"/>
    </row>
    <row r="19" spans="1:20" ht="87">
      <c r="A19" s="13" t="s">
        <v>852</v>
      </c>
      <c r="B19" s="14" t="s">
        <v>267</v>
      </c>
      <c r="C19" s="13">
        <v>55130</v>
      </c>
      <c r="D19" s="14" t="s">
        <v>691</v>
      </c>
      <c r="E19" s="14" t="s">
        <v>692</v>
      </c>
      <c r="F19" s="57" t="s">
        <v>154</v>
      </c>
      <c r="G19" s="14" t="s">
        <v>853</v>
      </c>
      <c r="H19" s="14" t="s">
        <v>854</v>
      </c>
      <c r="I19" s="14" t="s">
        <v>805</v>
      </c>
      <c r="J19" s="14" t="s">
        <v>31</v>
      </c>
      <c r="K19" s="71" t="s">
        <v>32</v>
      </c>
      <c r="L19" s="71" t="s">
        <v>32</v>
      </c>
      <c r="M19" s="14" t="s">
        <v>64</v>
      </c>
      <c r="N19" s="15">
        <v>150000</v>
      </c>
      <c r="O19" s="71">
        <v>1</v>
      </c>
      <c r="P19" s="15">
        <v>150000</v>
      </c>
      <c r="Q19" s="15"/>
      <c r="R19" s="13"/>
      <c r="S19" s="419"/>
      <c r="T19" s="418"/>
    </row>
    <row r="20" spans="1:20" ht="96" customHeight="1">
      <c r="A20" s="13" t="s">
        <v>855</v>
      </c>
      <c r="B20" s="14" t="s">
        <v>267</v>
      </c>
      <c r="C20" s="13">
        <v>57620</v>
      </c>
      <c r="D20" s="14" t="s">
        <v>279</v>
      </c>
      <c r="E20" s="14" t="s">
        <v>280</v>
      </c>
      <c r="F20" s="57" t="s">
        <v>154</v>
      </c>
      <c r="G20" s="14" t="s">
        <v>856</v>
      </c>
      <c r="H20" s="14" t="s">
        <v>857</v>
      </c>
      <c r="I20" s="14" t="s">
        <v>805</v>
      </c>
      <c r="J20" s="14" t="s">
        <v>31</v>
      </c>
      <c r="K20" s="71" t="s">
        <v>33</v>
      </c>
      <c r="L20" s="71" t="s">
        <v>32</v>
      </c>
      <c r="M20" s="14" t="s">
        <v>64</v>
      </c>
      <c r="N20" s="15">
        <v>20000</v>
      </c>
      <c r="O20" s="71">
        <v>1</v>
      </c>
      <c r="P20" s="15">
        <v>20000</v>
      </c>
      <c r="Q20" s="15"/>
      <c r="R20" s="13"/>
      <c r="S20" s="419"/>
      <c r="T20" s="418"/>
    </row>
    <row r="21" spans="1:20" ht="91.5" customHeight="1">
      <c r="A21" s="13" t="s">
        <v>858</v>
      </c>
      <c r="B21" s="14" t="s">
        <v>267</v>
      </c>
      <c r="C21" s="13">
        <v>55130</v>
      </c>
      <c r="D21" s="14" t="s">
        <v>691</v>
      </c>
      <c r="E21" s="14" t="s">
        <v>692</v>
      </c>
      <c r="F21" s="57" t="s">
        <v>154</v>
      </c>
      <c r="G21" s="14" t="s">
        <v>859</v>
      </c>
      <c r="H21" s="14" t="s">
        <v>860</v>
      </c>
      <c r="I21" s="14" t="s">
        <v>805</v>
      </c>
      <c r="J21" s="14" t="s">
        <v>31</v>
      </c>
      <c r="K21" s="71" t="s">
        <v>32</v>
      </c>
      <c r="L21" s="71" t="s">
        <v>32</v>
      </c>
      <c r="M21" s="14" t="s">
        <v>64</v>
      </c>
      <c r="N21" s="15">
        <v>15000</v>
      </c>
      <c r="O21" s="71">
        <v>1</v>
      </c>
      <c r="P21" s="15">
        <v>15000</v>
      </c>
      <c r="Q21" s="15"/>
      <c r="R21" s="13"/>
      <c r="S21" s="419"/>
      <c r="T21" s="418"/>
    </row>
    <row r="22" spans="1:20" ht="111" customHeight="1">
      <c r="A22" s="13" t="s">
        <v>861</v>
      </c>
      <c r="B22" s="14" t="s">
        <v>267</v>
      </c>
      <c r="C22" s="13">
        <v>55130</v>
      </c>
      <c r="D22" s="14" t="s">
        <v>691</v>
      </c>
      <c r="E22" s="14" t="s">
        <v>692</v>
      </c>
      <c r="F22" s="57" t="s">
        <v>154</v>
      </c>
      <c r="G22" s="14" t="s">
        <v>862</v>
      </c>
      <c r="H22" s="14" t="s">
        <v>1026</v>
      </c>
      <c r="I22" s="14" t="s">
        <v>805</v>
      </c>
      <c r="J22" s="14" t="s">
        <v>31</v>
      </c>
      <c r="K22" s="71" t="s">
        <v>32</v>
      </c>
      <c r="L22" s="71" t="s">
        <v>32</v>
      </c>
      <c r="M22" s="14" t="s">
        <v>64</v>
      </c>
      <c r="N22" s="15">
        <v>35000</v>
      </c>
      <c r="O22" s="71">
        <v>1</v>
      </c>
      <c r="P22" s="15">
        <v>35000</v>
      </c>
      <c r="Q22" s="15"/>
      <c r="R22" s="13"/>
      <c r="S22" s="419"/>
      <c r="T22" s="418"/>
    </row>
    <row r="23" spans="1:20" ht="95.25" customHeight="1">
      <c r="A23" s="13" t="s">
        <v>863</v>
      </c>
      <c r="B23" s="14" t="s">
        <v>139</v>
      </c>
      <c r="C23" s="13">
        <v>57940</v>
      </c>
      <c r="D23" s="14" t="s">
        <v>140</v>
      </c>
      <c r="E23" s="14" t="s">
        <v>141</v>
      </c>
      <c r="F23" s="57" t="s">
        <v>134</v>
      </c>
      <c r="G23" s="14" t="s">
        <v>864</v>
      </c>
      <c r="H23" s="14" t="s">
        <v>865</v>
      </c>
      <c r="I23" s="14" t="s">
        <v>805</v>
      </c>
      <c r="J23" s="14" t="s">
        <v>31</v>
      </c>
      <c r="K23" s="71" t="s">
        <v>32</v>
      </c>
      <c r="L23" s="71" t="s">
        <v>32</v>
      </c>
      <c r="M23" s="14" t="s">
        <v>25</v>
      </c>
      <c r="N23" s="15">
        <v>340</v>
      </c>
      <c r="O23" s="71">
        <v>58</v>
      </c>
      <c r="P23" s="15">
        <v>19720</v>
      </c>
      <c r="Q23" s="15"/>
      <c r="R23" s="13"/>
      <c r="S23" s="419"/>
      <c r="T23" s="418"/>
    </row>
    <row r="24" spans="1:20" ht="141" customHeight="1">
      <c r="A24" s="13" t="s">
        <v>866</v>
      </c>
      <c r="B24" s="14" t="s">
        <v>41</v>
      </c>
      <c r="C24" s="13">
        <v>57940</v>
      </c>
      <c r="D24" s="14" t="s">
        <v>42</v>
      </c>
      <c r="E24" s="14" t="s">
        <v>43</v>
      </c>
      <c r="F24" s="57" t="s">
        <v>21</v>
      </c>
      <c r="G24" s="14" t="s">
        <v>867</v>
      </c>
      <c r="H24" s="14" t="s">
        <v>980</v>
      </c>
      <c r="I24" s="14" t="s">
        <v>805</v>
      </c>
      <c r="J24" s="14" t="s">
        <v>31</v>
      </c>
      <c r="K24" s="71" t="s">
        <v>32</v>
      </c>
      <c r="L24" s="71" t="s">
        <v>32</v>
      </c>
      <c r="M24" s="14" t="s">
        <v>64</v>
      </c>
      <c r="N24" s="15">
        <v>14700</v>
      </c>
      <c r="O24" s="71">
        <v>1</v>
      </c>
      <c r="P24" s="15">
        <v>14700</v>
      </c>
      <c r="Q24" s="15"/>
      <c r="R24" s="13"/>
      <c r="S24" s="419"/>
      <c r="T24" s="418"/>
    </row>
    <row r="25" spans="1:20" ht="26.15" customHeight="1">
      <c r="A25" s="476"/>
      <c r="B25" s="477"/>
      <c r="C25" s="478"/>
      <c r="D25" s="477"/>
      <c r="E25" s="477"/>
      <c r="F25" s="479"/>
      <c r="G25" s="477"/>
      <c r="H25" s="477"/>
      <c r="I25" s="477"/>
      <c r="J25" s="477"/>
      <c r="K25" s="480"/>
      <c r="L25" s="480"/>
      <c r="M25" s="477"/>
      <c r="N25" s="481" t="s">
        <v>598</v>
      </c>
      <c r="O25" s="480"/>
      <c r="P25" s="481">
        <f>SUM(P3:P24)</f>
        <v>884120</v>
      </c>
      <c r="Q25" s="481">
        <f>SUM(Q3:Q24)</f>
        <v>0</v>
      </c>
      <c r="R25" s="416"/>
      <c r="S25" s="474">
        <f>SUM(S3:S24)</f>
        <v>0</v>
      </c>
      <c r="T25" s="475"/>
    </row>
    <row r="85" spans="17:19">
      <c r="Q85" s="55"/>
      <c r="S85" s="55"/>
    </row>
    <row r="86" spans="17:19">
      <c r="Q86" s="314"/>
      <c r="S86" s="314"/>
    </row>
    <row r="87" spans="17:19">
      <c r="Q87" s="315"/>
      <c r="S87" s="315"/>
    </row>
    <row r="88" spans="17:19">
      <c r="Q88" s="315"/>
      <c r="S88" s="315"/>
    </row>
    <row r="89" spans="17:19">
      <c r="Q89" s="315"/>
      <c r="S89" s="315"/>
    </row>
    <row r="90" spans="17:19">
      <c r="Q90" s="315"/>
      <c r="S90" s="315"/>
    </row>
    <row r="91" spans="17:19">
      <c r="Q91" s="315"/>
      <c r="S91" s="315"/>
    </row>
    <row r="92" spans="17:19">
      <c r="Q92" s="315"/>
      <c r="S92" s="315"/>
    </row>
    <row r="93" spans="17:19">
      <c r="Q93" s="315"/>
      <c r="S93" s="315"/>
    </row>
    <row r="94" spans="17:19">
      <c r="Q94" s="315"/>
      <c r="S94" s="315"/>
    </row>
    <row r="95" spans="17:19">
      <c r="Q95" s="315"/>
      <c r="S95" s="315"/>
    </row>
    <row r="96" spans="17:19">
      <c r="Q96" s="315"/>
      <c r="S96" s="315"/>
    </row>
    <row r="97" spans="17:19">
      <c r="Q97" s="315"/>
      <c r="S97" s="315"/>
    </row>
    <row r="98" spans="17:19">
      <c r="Q98" s="315"/>
      <c r="S98" s="315"/>
    </row>
    <row r="99" spans="17:19">
      <c r="Q99" s="315"/>
      <c r="S99" s="315"/>
    </row>
    <row r="100" spans="17:19">
      <c r="Q100" s="315"/>
      <c r="S100" s="315"/>
    </row>
    <row r="101" spans="17:19">
      <c r="Q101" s="315"/>
      <c r="S101" s="315"/>
    </row>
    <row r="102" spans="17:19">
      <c r="Q102" s="315"/>
      <c r="S102" s="315"/>
    </row>
  </sheetData>
  <pageMargins left="0.25" right="0.25" top="0.75" bottom="0.75" header="0.3" footer="0.3"/>
  <pageSetup paperSize="5" scale="73"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121"/>
  <sheetViews>
    <sheetView tabSelected="1" topLeftCell="A71" zoomScale="90" zoomScaleNormal="90" zoomScaleSheetLayoutView="76" zoomScalePageLayoutView="80" workbookViewId="0">
      <selection activeCell="A82" sqref="A82"/>
    </sheetView>
  </sheetViews>
  <sheetFormatPr defaultColWidth="8.81640625" defaultRowHeight="14.5"/>
  <cols>
    <col min="1" max="1" width="34.81640625" customWidth="1"/>
    <col min="2" max="2" width="14.26953125" bestFit="1" customWidth="1"/>
    <col min="3" max="3" width="17.1796875" customWidth="1"/>
    <col min="4" max="4" width="2.26953125" customWidth="1"/>
    <col min="5" max="5" width="12.453125" hidden="1" customWidth="1"/>
    <col min="6" max="6" width="13.26953125" bestFit="1" customWidth="1"/>
    <col min="7" max="7" width="14.81640625" customWidth="1"/>
    <col min="8" max="8" width="12.7265625" customWidth="1"/>
    <col min="9" max="9" width="18.81640625" customWidth="1"/>
    <col min="10" max="10" width="12.453125" customWidth="1"/>
    <col min="11" max="11" width="13.1796875" customWidth="1"/>
    <col min="12" max="12" width="14.7265625" customWidth="1"/>
    <col min="13" max="13" width="12.81640625" customWidth="1"/>
    <col min="14" max="14" width="2.81640625" customWidth="1"/>
    <col min="15" max="15" width="12.26953125" customWidth="1"/>
    <col min="16" max="16" width="12.453125" customWidth="1"/>
    <col min="17" max="17" width="6.453125" customWidth="1"/>
    <col min="18" max="18" width="5.81640625" customWidth="1"/>
    <col min="19" max="19" width="13.453125" customWidth="1"/>
    <col min="20" max="20" width="12.81640625" bestFit="1" customWidth="1"/>
    <col min="21" max="21" width="12.54296875" customWidth="1"/>
  </cols>
  <sheetData>
    <row r="1" spans="1:11" ht="23.5" hidden="1">
      <c r="A1" s="506" t="s">
        <v>533</v>
      </c>
      <c r="B1" s="506"/>
      <c r="C1" s="506"/>
      <c r="D1" s="506"/>
      <c r="E1" s="506"/>
      <c r="F1" s="506"/>
      <c r="G1" s="506"/>
      <c r="H1" s="506"/>
    </row>
    <row r="2" spans="1:11" hidden="1">
      <c r="A2" s="507" t="s">
        <v>534</v>
      </c>
      <c r="B2" s="507"/>
      <c r="C2" s="507"/>
      <c r="D2" s="507"/>
      <c r="E2" s="507"/>
      <c r="F2" s="507"/>
      <c r="G2" s="507"/>
      <c r="H2" s="507"/>
    </row>
    <row r="3" spans="1:11" ht="29" hidden="1" thickBot="1">
      <c r="A3" s="84" t="s">
        <v>535</v>
      </c>
      <c r="B3" s="85" t="s">
        <v>536</v>
      </c>
      <c r="C3" s="85" t="s">
        <v>537</v>
      </c>
      <c r="D3" s="85"/>
      <c r="E3" s="85" t="s">
        <v>538</v>
      </c>
      <c r="F3" s="85" t="s">
        <v>539</v>
      </c>
      <c r="G3" s="85" t="s">
        <v>540</v>
      </c>
      <c r="H3" s="85" t="s">
        <v>541</v>
      </c>
      <c r="I3" s="85" t="s">
        <v>542</v>
      </c>
    </row>
    <row r="4" spans="1:11" hidden="1">
      <c r="A4" t="s">
        <v>543</v>
      </c>
      <c r="B4" s="86">
        <f>B6-C6</f>
        <v>-163.48800000000028</v>
      </c>
      <c r="C4" s="86">
        <v>-151</v>
      </c>
      <c r="D4" s="86"/>
      <c r="E4" s="87">
        <v>-243</v>
      </c>
      <c r="F4" s="87">
        <v>-212</v>
      </c>
      <c r="G4" s="87">
        <v>210</v>
      </c>
      <c r="H4" s="87">
        <v>679</v>
      </c>
      <c r="I4" s="86">
        <v>78.639999999999986</v>
      </c>
    </row>
    <row r="5" spans="1:11" hidden="1">
      <c r="A5" t="s">
        <v>544</v>
      </c>
      <c r="B5" s="88">
        <v>-3.2000000000000001E-2</v>
      </c>
      <c r="C5" s="88">
        <v>-2.870722433460076E-2</v>
      </c>
      <c r="D5" s="88"/>
      <c r="E5" s="89">
        <v>-4.4157732146102129E-2</v>
      </c>
      <c r="F5" s="89">
        <v>-3.709536307961505E-2</v>
      </c>
      <c r="G5" s="89">
        <v>3.8147138964577658E-2</v>
      </c>
      <c r="H5" s="89">
        <v>0.14069622876087856</v>
      </c>
      <c r="I5" s="90"/>
    </row>
    <row r="6" spans="1:11" hidden="1">
      <c r="A6" t="s">
        <v>545</v>
      </c>
      <c r="B6" s="86">
        <f>C6*96.8%</f>
        <v>4945.5119999999997</v>
      </c>
      <c r="C6" s="86">
        <v>5109</v>
      </c>
      <c r="D6" s="86"/>
      <c r="E6" s="87">
        <v>5260</v>
      </c>
      <c r="F6" s="87">
        <v>5503</v>
      </c>
      <c r="G6" s="87">
        <v>5715</v>
      </c>
      <c r="H6" s="87">
        <v>5505</v>
      </c>
      <c r="I6" s="86"/>
    </row>
    <row r="7" spans="1:11" hidden="1">
      <c r="A7" s="91" t="s">
        <v>546</v>
      </c>
      <c r="B7" s="92">
        <f>B4*2130</f>
        <v>-348229.44000000058</v>
      </c>
      <c r="C7" s="93">
        <v>-321630</v>
      </c>
      <c r="D7" s="93"/>
      <c r="E7" s="94">
        <v>-517590</v>
      </c>
      <c r="F7" s="94">
        <v>-451560</v>
      </c>
      <c r="G7" s="94">
        <v>447300</v>
      </c>
      <c r="H7" s="94">
        <v>1446270</v>
      </c>
      <c r="I7" s="94">
        <v>167503.19999999995</v>
      </c>
      <c r="K7" s="86"/>
    </row>
    <row r="8" spans="1:11" hidden="1">
      <c r="A8" s="95" t="s">
        <v>547</v>
      </c>
      <c r="B8" s="96">
        <v>0</v>
      </c>
      <c r="C8" s="96">
        <v>0</v>
      </c>
      <c r="D8" s="96"/>
      <c r="E8" s="96">
        <v>-973078</v>
      </c>
      <c r="F8" s="97">
        <v>-101623</v>
      </c>
      <c r="G8" s="96">
        <v>-446529</v>
      </c>
      <c r="H8" s="98">
        <v>-309758</v>
      </c>
      <c r="I8" s="96">
        <v>-1830988</v>
      </c>
    </row>
    <row r="9" spans="1:11" ht="15" hidden="1" thickBot="1">
      <c r="A9" s="99" t="s">
        <v>548</v>
      </c>
      <c r="B9" s="100">
        <f>B4*2130</f>
        <v>-348229.44000000058</v>
      </c>
      <c r="C9" s="100">
        <v>-321630</v>
      </c>
      <c r="D9" s="100"/>
      <c r="E9" s="100">
        <v>-1490668</v>
      </c>
      <c r="F9" s="100">
        <v>-553183</v>
      </c>
      <c r="G9" s="100">
        <v>771</v>
      </c>
      <c r="H9" s="100">
        <v>1136512</v>
      </c>
      <c r="I9" s="100">
        <v>-1663484.7999999998</v>
      </c>
    </row>
    <row r="10" spans="1:11" hidden="1">
      <c r="A10" s="101" t="s">
        <v>549</v>
      </c>
      <c r="B10" s="102"/>
      <c r="C10" s="102"/>
      <c r="D10" s="102"/>
      <c r="E10" s="103"/>
    </row>
    <row r="11" spans="1:11" ht="11.25" hidden="1" customHeight="1">
      <c r="A11" s="103"/>
      <c r="B11" s="102"/>
      <c r="C11" s="102"/>
      <c r="D11" s="102"/>
      <c r="E11" s="103"/>
      <c r="J11">
        <f>SUM(J6:J10)</f>
        <v>0</v>
      </c>
    </row>
    <row r="12" spans="1:11" ht="29" hidden="1" thickBot="1">
      <c r="A12" s="84" t="s">
        <v>550</v>
      </c>
      <c r="B12" s="102"/>
      <c r="C12" s="102"/>
      <c r="D12" s="102"/>
      <c r="E12" s="103"/>
    </row>
    <row r="13" spans="1:11" ht="19" hidden="1" thickBot="1">
      <c r="A13" s="104" t="s">
        <v>551</v>
      </c>
      <c r="B13" s="85" t="s">
        <v>552</v>
      </c>
      <c r="C13" s="85" t="s">
        <v>537</v>
      </c>
      <c r="D13" s="85"/>
      <c r="E13" s="85" t="s">
        <v>538</v>
      </c>
      <c r="F13" s="85" t="s">
        <v>539</v>
      </c>
      <c r="G13" s="85" t="s">
        <v>540</v>
      </c>
      <c r="H13" s="85" t="s">
        <v>541</v>
      </c>
      <c r="I13" s="85" t="s">
        <v>542</v>
      </c>
    </row>
    <row r="14" spans="1:11" hidden="1">
      <c r="A14" t="s">
        <v>553</v>
      </c>
      <c r="B14" s="105">
        <v>38886000</v>
      </c>
      <c r="C14" s="105">
        <v>37666634</v>
      </c>
      <c r="D14" s="105"/>
      <c r="E14" s="105">
        <v>36820081</v>
      </c>
      <c r="F14" s="105">
        <v>36814467</v>
      </c>
      <c r="G14" s="105">
        <v>36789033</v>
      </c>
      <c r="H14" s="105">
        <v>32542180</v>
      </c>
    </row>
    <row r="15" spans="1:11" hidden="1">
      <c r="A15" t="s">
        <v>554</v>
      </c>
      <c r="B15" s="106">
        <v>40734933.399999999</v>
      </c>
      <c r="C15" s="106">
        <v>41396012</v>
      </c>
      <c r="D15" s="106"/>
      <c r="E15" s="106">
        <v>40039680.57</v>
      </c>
      <c r="F15" s="106">
        <v>39260610.780000001</v>
      </c>
      <c r="G15" s="106">
        <v>39626582.270000003</v>
      </c>
      <c r="H15" s="106">
        <v>38019210.649999999</v>
      </c>
      <c r="I15" s="106"/>
    </row>
    <row r="16" spans="1:11" hidden="1">
      <c r="A16" t="s">
        <v>555</v>
      </c>
      <c r="B16" s="106">
        <f>-10938628.12-25095095.55</f>
        <v>-36033723.670000002</v>
      </c>
      <c r="C16" s="106">
        <f>-40077680.16-C17</f>
        <v>-39512680.159999996</v>
      </c>
      <c r="D16" s="106"/>
      <c r="E16" s="106">
        <f>-38750977.31+552301</f>
        <v>-38198676.310000002</v>
      </c>
      <c r="F16" s="106">
        <f>-38033969.84+552217</f>
        <v>-37481752.840000004</v>
      </c>
      <c r="G16" s="106">
        <f>-38359581.78+3176613</f>
        <v>-35182968.780000001</v>
      </c>
      <c r="H16" s="106">
        <f>-35705498.54+500000</f>
        <v>-35205498.539999999</v>
      </c>
      <c r="I16" s="106"/>
    </row>
    <row r="17" spans="1:9" hidden="1">
      <c r="A17" s="91" t="s">
        <v>556</v>
      </c>
      <c r="B17" s="107">
        <v>0</v>
      </c>
      <c r="C17" s="107">
        <v>-565000</v>
      </c>
      <c r="D17" s="107"/>
      <c r="E17" s="107">
        <v>-552301</v>
      </c>
      <c r="F17" s="107">
        <v>-552217</v>
      </c>
      <c r="G17" s="107">
        <v>-3176613</v>
      </c>
      <c r="H17" s="107">
        <v>-500000</v>
      </c>
      <c r="I17" s="106">
        <f>SUM(C17:H17)</f>
        <v>-5346131</v>
      </c>
    </row>
    <row r="18" spans="1:9" ht="15" hidden="1" thickBot="1">
      <c r="A18" s="108" t="s">
        <v>557</v>
      </c>
      <c r="B18" s="109">
        <f>B15+B16+B17</f>
        <v>4701209.7299999967</v>
      </c>
      <c r="C18" s="109">
        <f>C15+C16+C17</f>
        <v>1318331.8400000036</v>
      </c>
      <c r="D18" s="109"/>
      <c r="E18" s="109">
        <f>SUM(E15:E17)</f>
        <v>1288703.2599999979</v>
      </c>
      <c r="F18" s="109">
        <f>SUM(F15:F17)</f>
        <v>1226640.9399999976</v>
      </c>
      <c r="G18" s="109">
        <f>SUM(G15:G17)</f>
        <v>1267000.4900000021</v>
      </c>
      <c r="H18" s="109">
        <f>SUM(H15:H17)</f>
        <v>2313712.1099999994</v>
      </c>
      <c r="I18" s="109"/>
    </row>
    <row r="19" spans="1:9" hidden="1"/>
    <row r="20" spans="1:9" ht="19" hidden="1" thickBot="1">
      <c r="A20" s="104" t="s">
        <v>558</v>
      </c>
      <c r="B20" s="110"/>
      <c r="C20" s="110"/>
      <c r="D20" s="110"/>
      <c r="E20" s="110"/>
      <c r="F20" s="110"/>
      <c r="G20" s="110"/>
      <c r="H20" s="110"/>
      <c r="I20" s="110"/>
    </row>
    <row r="21" spans="1:9" hidden="1">
      <c r="A21" t="s">
        <v>559</v>
      </c>
      <c r="B21" s="105">
        <v>1916790.42</v>
      </c>
      <c r="C21" s="105">
        <v>1858223.7</v>
      </c>
      <c r="D21" s="105"/>
      <c r="E21" s="105">
        <v>3757348.81</v>
      </c>
      <c r="F21" s="105">
        <v>3418861.5</v>
      </c>
      <c r="G21" s="105">
        <v>3059970.07</v>
      </c>
      <c r="H21" s="105">
        <v>2197385.79</v>
      </c>
    </row>
    <row r="22" spans="1:9" hidden="1">
      <c r="A22" t="s">
        <v>560</v>
      </c>
      <c r="B22" s="106">
        <v>289375.62</v>
      </c>
      <c r="C22" s="106">
        <v>347667.91</v>
      </c>
      <c r="D22" s="106"/>
      <c r="E22" s="106">
        <v>806448.85</v>
      </c>
      <c r="F22" s="106">
        <v>827124.78</v>
      </c>
      <c r="G22" s="106">
        <v>798952.12</v>
      </c>
      <c r="H22" s="106">
        <v>2450877.2599999998</v>
      </c>
      <c r="I22" s="86">
        <f>SUM(B22:H22)</f>
        <v>5520446.54</v>
      </c>
    </row>
    <row r="23" spans="1:9" hidden="1">
      <c r="A23" t="s">
        <v>561</v>
      </c>
      <c r="B23" s="106">
        <v>-209250.92</v>
      </c>
      <c r="C23" s="106">
        <v>-289101.19</v>
      </c>
      <c r="D23" s="106"/>
      <c r="E23" s="106">
        <v>-2705568.96</v>
      </c>
      <c r="F23" s="106">
        <v>-488637.47</v>
      </c>
      <c r="G23" s="106">
        <v>-440060.69</v>
      </c>
      <c r="H23" s="106">
        <v>-1588292.98</v>
      </c>
      <c r="I23" s="86">
        <f>SUM(B23:H23)</f>
        <v>-5720912.21</v>
      </c>
    </row>
    <row r="24" spans="1:9" ht="15" hidden="1" thickBot="1">
      <c r="A24" s="111" t="s">
        <v>557</v>
      </c>
      <c r="B24" s="112">
        <f>SUM(B21:B23)</f>
        <v>1996915.12</v>
      </c>
      <c r="C24" s="113">
        <f>SUM(C21:C23)</f>
        <v>1916790.42</v>
      </c>
      <c r="D24" s="113"/>
      <c r="E24" s="113">
        <f>SUM(E21:E23)</f>
        <v>1858228.7000000002</v>
      </c>
      <c r="F24" s="113">
        <f>SUM(F21:F23)</f>
        <v>3757348.8100000005</v>
      </c>
      <c r="G24" s="113">
        <f>SUM(G21:G23)</f>
        <v>3418861.5</v>
      </c>
      <c r="H24" s="113">
        <f>SUM(H21:H23)</f>
        <v>3059970.07</v>
      </c>
      <c r="I24" s="111"/>
    </row>
    <row r="25" spans="1:9" hidden="1"/>
    <row r="26" spans="1:9" hidden="1"/>
    <row r="27" spans="1:9" ht="19" hidden="1" thickBot="1">
      <c r="A27" s="104" t="s">
        <v>562</v>
      </c>
      <c r="B27" s="110"/>
      <c r="C27" s="110"/>
      <c r="D27" s="110"/>
      <c r="E27" s="110"/>
      <c r="F27" s="110"/>
      <c r="G27" s="110"/>
      <c r="H27" s="110"/>
      <c r="I27" s="110"/>
    </row>
    <row r="28" spans="1:9" hidden="1">
      <c r="A28" t="s">
        <v>559</v>
      </c>
      <c r="B28" s="105">
        <v>562516.62</v>
      </c>
      <c r="C28" s="105">
        <v>402224.01</v>
      </c>
      <c r="D28" s="105"/>
      <c r="E28" s="105">
        <v>614902.34</v>
      </c>
      <c r="F28" s="105">
        <v>553045.59</v>
      </c>
      <c r="G28" s="105">
        <v>446074.23</v>
      </c>
      <c r="H28" s="105">
        <v>430083.73</v>
      </c>
      <c r="I28" s="105"/>
    </row>
    <row r="29" spans="1:9" hidden="1">
      <c r="A29" t="s">
        <v>560</v>
      </c>
      <c r="B29" s="106">
        <v>477717</v>
      </c>
      <c r="C29" s="106">
        <v>533098</v>
      </c>
      <c r="D29" s="106"/>
      <c r="E29" s="106">
        <v>583193.79</v>
      </c>
      <c r="F29" s="106">
        <v>569889</v>
      </c>
      <c r="G29" s="106">
        <v>607565.9</v>
      </c>
      <c r="H29" s="106">
        <v>630941.42000000004</v>
      </c>
      <c r="I29" s="105">
        <f>SUM(B29:H29)</f>
        <v>3402405.11</v>
      </c>
    </row>
    <row r="30" spans="1:9" hidden="1">
      <c r="A30" t="s">
        <v>561</v>
      </c>
      <c r="B30" s="106">
        <v>-309535.84999999998</v>
      </c>
      <c r="C30" s="106">
        <v>-372805.39</v>
      </c>
      <c r="D30" s="106"/>
      <c r="E30" s="106">
        <v>-795872.12</v>
      </c>
      <c r="F30" s="106">
        <v>-508032.25</v>
      </c>
      <c r="G30" s="106">
        <v>-500594.54</v>
      </c>
      <c r="H30" s="106">
        <v>-614950.92000000004</v>
      </c>
      <c r="I30" s="105">
        <f>SUM(B30:H30)</f>
        <v>-3101791.07</v>
      </c>
    </row>
    <row r="31" spans="1:9" ht="15" hidden="1" thickBot="1">
      <c r="A31" s="111" t="s">
        <v>557</v>
      </c>
      <c r="B31" s="113">
        <f>B28+B29+B30</f>
        <v>730697.77</v>
      </c>
      <c r="C31" s="113">
        <f>C28+C29+C30</f>
        <v>562516.62</v>
      </c>
      <c r="D31" s="113"/>
      <c r="E31" s="113">
        <f>E28+E29+E30</f>
        <v>402224.00999999989</v>
      </c>
      <c r="F31" s="113">
        <f>F28+F29+F30</f>
        <v>614902.33999999985</v>
      </c>
      <c r="G31" s="113">
        <f>G28+G29+G30</f>
        <v>553045.58999999985</v>
      </c>
      <c r="H31" s="113">
        <f>H28+H29+H30</f>
        <v>446074.22999999986</v>
      </c>
      <c r="I31" s="113"/>
    </row>
    <row r="32" spans="1:9" hidden="1">
      <c r="B32" s="105"/>
      <c r="C32" s="105"/>
      <c r="D32" s="105"/>
      <c r="E32" s="105"/>
      <c r="F32" s="105"/>
      <c r="G32" s="105"/>
      <c r="H32" s="105"/>
      <c r="I32" s="105"/>
    </row>
    <row r="33" spans="1:11" ht="19" hidden="1" thickBot="1">
      <c r="A33" s="104" t="s">
        <v>563</v>
      </c>
      <c r="B33" s="114"/>
      <c r="C33" s="114"/>
      <c r="D33" s="114"/>
      <c r="E33" s="114"/>
      <c r="F33" s="114"/>
      <c r="G33" s="114"/>
      <c r="H33" s="114"/>
      <c r="I33" s="114"/>
    </row>
    <row r="34" spans="1:11" hidden="1">
      <c r="A34" t="s">
        <v>559</v>
      </c>
      <c r="B34" s="105">
        <v>416233.93</v>
      </c>
      <c r="C34" s="105">
        <v>224522.59</v>
      </c>
      <c r="D34" s="105"/>
      <c r="E34" s="105">
        <f>-31747.82+66820.61</f>
        <v>35072.79</v>
      </c>
      <c r="F34" s="105">
        <f>38047.73+17487.61</f>
        <v>55535.340000000004</v>
      </c>
      <c r="G34" s="105">
        <f>75662.51+28737.55</f>
        <v>104400.06</v>
      </c>
      <c r="H34" s="105">
        <v>273759.38</v>
      </c>
      <c r="I34" s="105"/>
    </row>
    <row r="35" spans="1:11" hidden="1">
      <c r="A35" t="s">
        <v>560</v>
      </c>
      <c r="B35" s="106">
        <v>307939.75</v>
      </c>
      <c r="C35" s="106">
        <f>368118.85+138</f>
        <v>368256.85</v>
      </c>
      <c r="D35" s="106"/>
      <c r="E35" s="106">
        <f>817632.5-52009.57</f>
        <v>765622.93</v>
      </c>
      <c r="F35" s="106">
        <f>662277.23+51246</f>
        <v>713523.23</v>
      </c>
      <c r="G35" s="106">
        <f>648230.39+21317</f>
        <v>669547.39</v>
      </c>
      <c r="H35" s="106">
        <f>698049.6+47963</f>
        <v>746012.6</v>
      </c>
      <c r="I35" s="105">
        <f>SUM(B35:H35)</f>
        <v>3570902.75</v>
      </c>
    </row>
    <row r="36" spans="1:11" hidden="1">
      <c r="A36" t="s">
        <v>561</v>
      </c>
      <c r="B36" s="106">
        <v>-103158.37</v>
      </c>
      <c r="C36" s="106">
        <v>-176545.51</v>
      </c>
      <c r="D36" s="106"/>
      <c r="E36" s="106">
        <v>-576173.13</v>
      </c>
      <c r="F36" s="106">
        <v>-733985.78</v>
      </c>
      <c r="G36" s="106">
        <v>-718412.11</v>
      </c>
      <c r="H36" s="106">
        <v>-915371.92</v>
      </c>
      <c r="I36" s="105">
        <f>SUM(B36:H36)</f>
        <v>-3223646.82</v>
      </c>
    </row>
    <row r="37" spans="1:11" ht="15" hidden="1" thickBot="1">
      <c r="A37" s="111" t="s">
        <v>557</v>
      </c>
      <c r="B37" s="113">
        <f>SUM(B34:B36)</f>
        <v>621015.30999999994</v>
      </c>
      <c r="C37" s="113">
        <f>SUM(C34:C36)</f>
        <v>416233.92999999993</v>
      </c>
      <c r="D37" s="113"/>
      <c r="E37" s="113">
        <f>SUM(E34:E36)</f>
        <v>224522.59000000008</v>
      </c>
      <c r="F37" s="113">
        <f>SUM(F34:F36)</f>
        <v>35072.789999999921</v>
      </c>
      <c r="G37" s="113">
        <f>SUM(G34:G36)</f>
        <v>55535.339999999967</v>
      </c>
      <c r="H37" s="113">
        <f>SUM(H34:H36)</f>
        <v>104400.05999999994</v>
      </c>
      <c r="I37" s="113"/>
    </row>
    <row r="38" spans="1:11" hidden="1">
      <c r="A38" s="115"/>
      <c r="B38" s="116"/>
      <c r="C38" s="116"/>
      <c r="D38" s="116"/>
      <c r="E38" s="116"/>
      <c r="F38" s="116"/>
      <c r="G38" s="116"/>
      <c r="H38" s="116"/>
      <c r="I38" s="116"/>
    </row>
    <row r="39" spans="1:11" ht="19" hidden="1" thickBot="1">
      <c r="A39" s="104" t="s">
        <v>564</v>
      </c>
      <c r="B39" s="114"/>
      <c r="C39" s="114"/>
      <c r="D39" s="114"/>
      <c r="E39" s="114"/>
      <c r="F39" s="114"/>
      <c r="G39" s="114"/>
      <c r="H39" s="114"/>
      <c r="I39" s="114"/>
    </row>
    <row r="40" spans="1:11" hidden="1">
      <c r="A40" t="s">
        <v>559</v>
      </c>
      <c r="B40" s="105">
        <f>538063.36+39401.98</f>
        <v>577465.34</v>
      </c>
      <c r="C40" s="105">
        <v>1119864.97</v>
      </c>
      <c r="D40" s="105"/>
      <c r="E40" s="105">
        <v>1273781.79</v>
      </c>
      <c r="F40" s="105">
        <v>1186041.04</v>
      </c>
      <c r="G40" s="105">
        <v>885193.89</v>
      </c>
      <c r="H40" s="105">
        <v>715296.1</v>
      </c>
      <c r="I40" s="105">
        <f>SUM(B40:H40)</f>
        <v>5757643.1299999999</v>
      </c>
    </row>
    <row r="41" spans="1:11" hidden="1">
      <c r="A41" t="s">
        <v>561</v>
      </c>
      <c r="B41" s="105">
        <f>-24747.05-302723.86</f>
        <v>-327470.90999999997</v>
      </c>
      <c r="C41" s="105">
        <v>-968430.62</v>
      </c>
      <c r="D41" s="105"/>
      <c r="E41" s="105">
        <v>-1126009.19</v>
      </c>
      <c r="F41" s="105">
        <v>-1016628.84</v>
      </c>
      <c r="G41" s="105">
        <v>-704715.61</v>
      </c>
      <c r="H41" s="105">
        <v>-566205.92000000004</v>
      </c>
      <c r="I41" s="105">
        <f>SUM(B41:H41)</f>
        <v>-4709461.09</v>
      </c>
    </row>
    <row r="42" spans="1:11" ht="15" hidden="1" thickBot="1">
      <c r="A42" s="111" t="s">
        <v>557</v>
      </c>
      <c r="B42" s="113">
        <f>SUM(B40:B41)</f>
        <v>249994.43</v>
      </c>
      <c r="C42" s="113">
        <f>SUM(C40:C41)</f>
        <v>151434.34999999998</v>
      </c>
      <c r="D42" s="113"/>
      <c r="E42" s="113">
        <f>SUM(E40:E41)</f>
        <v>147772.60000000009</v>
      </c>
      <c r="F42" s="113">
        <f>SUM(F40:F41)</f>
        <v>169412.20000000007</v>
      </c>
      <c r="G42" s="113">
        <f>SUM(G40:G41)</f>
        <v>180478.28000000003</v>
      </c>
      <c r="H42" s="113">
        <f>SUM(H40:H41)</f>
        <v>149090.17999999993</v>
      </c>
      <c r="I42" s="113"/>
    </row>
    <row r="43" spans="1:11" hidden="1">
      <c r="B43" s="105"/>
      <c r="C43" s="105"/>
      <c r="D43" s="105"/>
      <c r="E43" s="105"/>
      <c r="F43" s="105"/>
      <c r="G43" s="105"/>
      <c r="H43" s="105"/>
      <c r="I43" s="105"/>
    </row>
    <row r="44" spans="1:11" ht="19" hidden="1" thickBot="1">
      <c r="A44" s="104" t="s">
        <v>565</v>
      </c>
      <c r="B44" s="114"/>
      <c r="C44" s="114"/>
      <c r="D44" s="114"/>
      <c r="E44" s="114"/>
      <c r="F44" s="114"/>
      <c r="G44" s="114"/>
      <c r="H44" s="114"/>
      <c r="I44" s="114"/>
    </row>
    <row r="45" spans="1:11" hidden="1">
      <c r="A45" t="s">
        <v>559</v>
      </c>
      <c r="B45" s="105">
        <v>5682974</v>
      </c>
      <c r="C45" s="105">
        <v>5910636.0599999996</v>
      </c>
      <c r="D45" s="105"/>
      <c r="E45" s="105">
        <v>5997069.1799999997</v>
      </c>
      <c r="F45" s="105">
        <v>5946845.3399999999</v>
      </c>
      <c r="G45" s="105">
        <v>2977834.54</v>
      </c>
      <c r="H45" s="105">
        <v>2092869.94</v>
      </c>
      <c r="I45" s="105"/>
    </row>
    <row r="46" spans="1:11" hidden="1">
      <c r="A46" t="s">
        <v>566</v>
      </c>
      <c r="B46" s="117">
        <v>500000</v>
      </c>
      <c r="C46" s="105">
        <v>565000</v>
      </c>
      <c r="D46" s="105"/>
      <c r="E46" s="105">
        <v>552301</v>
      </c>
      <c r="F46" s="105">
        <v>552217</v>
      </c>
      <c r="G46" s="105">
        <v>3176613</v>
      </c>
      <c r="H46" s="105">
        <v>1000000</v>
      </c>
      <c r="I46" s="105">
        <f>SUM(B46:H46)</f>
        <v>6346131</v>
      </c>
    </row>
    <row r="47" spans="1:11" hidden="1">
      <c r="A47" t="s">
        <v>561</v>
      </c>
      <c r="B47" s="105">
        <v>-699087.63</v>
      </c>
      <c r="C47" s="105">
        <f>-539773.65-252888.65</f>
        <v>-792662.3</v>
      </c>
      <c r="D47" s="105"/>
      <c r="E47" s="105">
        <f>-582766.26-55967.92</f>
        <v>-638734.18000000005</v>
      </c>
      <c r="F47" s="105">
        <f>-192029.4-309963.94</f>
        <v>-501993.33999999997</v>
      </c>
      <c r="G47" s="105">
        <f>-155807-51795.54</f>
        <v>-207602.54</v>
      </c>
      <c r="H47" s="105">
        <f>-97217.58-17817.36</f>
        <v>-115034.94</v>
      </c>
      <c r="I47" s="105">
        <f>SUM(B47:H47)</f>
        <v>-2955114.93</v>
      </c>
      <c r="K47" s="118"/>
    </row>
    <row r="48" spans="1:11" ht="15" hidden="1" thickBot="1">
      <c r="A48" s="111" t="s">
        <v>557</v>
      </c>
      <c r="B48" s="113">
        <f>SUM(B45:B47)</f>
        <v>5483886.3700000001</v>
      </c>
      <c r="C48" s="113">
        <f>SUM(C45:C47)</f>
        <v>5682973.7599999998</v>
      </c>
      <c r="D48" s="113"/>
      <c r="E48" s="113">
        <v>5910636</v>
      </c>
      <c r="F48" s="113">
        <f>SUM(F45:F47)</f>
        <v>5997069</v>
      </c>
      <c r="G48" s="113">
        <f>SUM(G45:G47)</f>
        <v>5946845</v>
      </c>
      <c r="H48" s="113">
        <f>SUM(H45:H47)</f>
        <v>2977835</v>
      </c>
      <c r="I48" s="113"/>
    </row>
    <row r="49" spans="1:9" hidden="1">
      <c r="B49" s="105"/>
      <c r="C49" s="105"/>
      <c r="D49" s="105"/>
      <c r="E49" s="105"/>
      <c r="F49" s="105"/>
      <c r="G49" s="105"/>
      <c r="H49" s="105"/>
      <c r="I49" s="105"/>
    </row>
    <row r="50" spans="1:9" ht="19" hidden="1" thickBot="1">
      <c r="A50" s="104" t="s">
        <v>567</v>
      </c>
      <c r="B50" s="114"/>
      <c r="C50" s="114"/>
      <c r="D50" s="114"/>
      <c r="E50" s="114"/>
      <c r="F50" s="114"/>
      <c r="G50" s="114"/>
      <c r="H50" s="114"/>
      <c r="I50" s="114"/>
    </row>
    <row r="51" spans="1:9" hidden="1">
      <c r="A51" t="s">
        <v>559</v>
      </c>
      <c r="B51" s="105">
        <f>C53</f>
        <v>9324194.4100000001</v>
      </c>
      <c r="C51" s="105">
        <f>E53</f>
        <v>12160934.199999999</v>
      </c>
      <c r="D51" s="105"/>
      <c r="E51" s="105">
        <f>F53</f>
        <v>15254384.699999999</v>
      </c>
      <c r="F51" s="105">
        <f>G53</f>
        <v>23896727</v>
      </c>
      <c r="G51" s="105">
        <v>28588322.260000002</v>
      </c>
      <c r="H51" s="105">
        <v>39221831.799999997</v>
      </c>
      <c r="I51" s="105"/>
    </row>
    <row r="52" spans="1:9" hidden="1">
      <c r="A52" t="s">
        <v>555</v>
      </c>
      <c r="B52" s="105">
        <f>B53-B51</f>
        <v>-7100250.4100000001</v>
      </c>
      <c r="C52" s="105">
        <f>C53-C51</f>
        <v>-2836739.7899999991</v>
      </c>
      <c r="D52" s="105"/>
      <c r="E52" s="105">
        <f>E53-E51</f>
        <v>-3093450.5</v>
      </c>
      <c r="F52" s="105">
        <f>F53-F51</f>
        <v>-8642342.3000000007</v>
      </c>
      <c r="G52" s="105">
        <f>G53-G51</f>
        <v>-4691595.2600000016</v>
      </c>
      <c r="H52" s="105">
        <f>H53-H51</f>
        <v>-10633509.539999995</v>
      </c>
      <c r="I52" s="105">
        <f>SUM(B52:H52)</f>
        <v>-36997887.799999997</v>
      </c>
    </row>
    <row r="53" spans="1:9" ht="15" hidden="1" thickBot="1">
      <c r="A53" s="111" t="s">
        <v>557</v>
      </c>
      <c r="B53" s="113">
        <v>2223944</v>
      </c>
      <c r="C53" s="113">
        <v>9324194.4100000001</v>
      </c>
      <c r="D53" s="113"/>
      <c r="E53" s="113">
        <v>12160934.199999999</v>
      </c>
      <c r="F53" s="113">
        <v>15254384.699999999</v>
      </c>
      <c r="G53" s="113">
        <v>23896727</v>
      </c>
      <c r="H53" s="113">
        <f>G51</f>
        <v>28588322.260000002</v>
      </c>
      <c r="I53" s="113"/>
    </row>
    <row r="54" spans="1:9" hidden="1"/>
    <row r="55" spans="1:9" ht="19" hidden="1" thickBot="1">
      <c r="A55" s="104" t="s">
        <v>568</v>
      </c>
      <c r="B55" s="114"/>
      <c r="C55" s="114"/>
      <c r="D55" s="114"/>
      <c r="E55" s="114"/>
      <c r="F55" s="114"/>
      <c r="G55" s="114"/>
      <c r="H55" s="114"/>
      <c r="I55" s="114"/>
    </row>
    <row r="56" spans="1:9" hidden="1">
      <c r="A56" t="s">
        <v>559</v>
      </c>
      <c r="B56" s="105">
        <f>C59</f>
        <v>114634.44999999998</v>
      </c>
      <c r="C56" s="105">
        <f>E59</f>
        <v>104407.98999999999</v>
      </c>
      <c r="D56" s="105"/>
      <c r="E56" s="105">
        <f>F59</f>
        <v>138934.15999999997</v>
      </c>
      <c r="F56" s="105">
        <f>G59</f>
        <v>175841.58999999997</v>
      </c>
      <c r="G56" s="105">
        <f>H59</f>
        <v>105292.60999999999</v>
      </c>
      <c r="H56" s="105">
        <v>110221.81</v>
      </c>
      <c r="I56" s="105"/>
    </row>
    <row r="57" spans="1:9" hidden="1">
      <c r="A57" t="s">
        <v>560</v>
      </c>
      <c r="B57" s="105">
        <f>76293.22</f>
        <v>76293.22</v>
      </c>
      <c r="C57" s="105">
        <v>83595.929999999993</v>
      </c>
      <c r="D57" s="105"/>
      <c r="E57" s="105">
        <v>81341.83</v>
      </c>
      <c r="F57" s="105">
        <v>81738.03</v>
      </c>
      <c r="G57" s="105">
        <v>121201.98</v>
      </c>
      <c r="H57" s="105">
        <v>88230.8</v>
      </c>
      <c r="I57" s="105">
        <f>SUM(B57:H57)</f>
        <v>532401.79</v>
      </c>
    </row>
    <row r="58" spans="1:9" hidden="1">
      <c r="A58" t="s">
        <v>561</v>
      </c>
      <c r="B58" s="105">
        <f>-23960.67-82.8</f>
        <v>-24043.469999999998</v>
      </c>
      <c r="C58" s="105">
        <v>-73369.47</v>
      </c>
      <c r="D58" s="105"/>
      <c r="E58" s="105">
        <v>-115868</v>
      </c>
      <c r="F58" s="105">
        <v>-118645.46</v>
      </c>
      <c r="G58" s="105">
        <v>-50653</v>
      </c>
      <c r="H58" s="105">
        <v>-93160</v>
      </c>
      <c r="I58" s="105">
        <f>SUM(B58:H58)</f>
        <v>-475739.4</v>
      </c>
    </row>
    <row r="59" spans="1:9" ht="15" hidden="1" thickBot="1">
      <c r="A59" s="111" t="s">
        <v>557</v>
      </c>
      <c r="B59" s="113">
        <v>119690.42</v>
      </c>
      <c r="C59" s="113">
        <f>SUM(C56:C58)</f>
        <v>114634.44999999998</v>
      </c>
      <c r="D59" s="113"/>
      <c r="E59" s="113">
        <f>SUM(E56:E58)</f>
        <v>104407.98999999999</v>
      </c>
      <c r="F59" s="113">
        <f>SUM(F56:F58)</f>
        <v>138934.15999999997</v>
      </c>
      <c r="G59" s="113">
        <f>SUM(G56:G58)</f>
        <v>175841.58999999997</v>
      </c>
      <c r="H59" s="113">
        <f>SUM(H56:H58)</f>
        <v>105292.60999999999</v>
      </c>
      <c r="I59" s="113"/>
    </row>
    <row r="60" spans="1:9" hidden="1">
      <c r="A60" s="119"/>
      <c r="B60" s="120"/>
      <c r="C60" s="120"/>
      <c r="D60" s="120"/>
      <c r="E60" s="120"/>
      <c r="F60" s="120"/>
      <c r="G60" s="120"/>
      <c r="H60" s="120"/>
      <c r="I60" s="120"/>
    </row>
    <row r="61" spans="1:9" ht="6" hidden="1" customHeight="1">
      <c r="A61" s="119"/>
      <c r="B61" s="120"/>
      <c r="C61" s="120"/>
      <c r="D61" s="120"/>
      <c r="E61" s="120"/>
      <c r="F61" s="120"/>
      <c r="G61" s="120"/>
      <c r="H61" s="120"/>
      <c r="I61" s="120"/>
    </row>
    <row r="62" spans="1:9" hidden="1"/>
    <row r="63" spans="1:9" ht="19" hidden="1" thickBot="1">
      <c r="A63" s="104" t="s">
        <v>568</v>
      </c>
      <c r="B63" s="114"/>
      <c r="C63" s="114"/>
      <c r="D63" s="114"/>
      <c r="E63" s="114"/>
      <c r="F63" s="114"/>
      <c r="G63" s="114"/>
      <c r="H63" s="114"/>
      <c r="I63" s="114"/>
    </row>
    <row r="64" spans="1:9" hidden="1">
      <c r="A64" t="s">
        <v>559</v>
      </c>
      <c r="B64" s="105">
        <f>C67</f>
        <v>114634.44999999998</v>
      </c>
      <c r="C64" s="105">
        <f>E67</f>
        <v>104407.98999999999</v>
      </c>
      <c r="D64" s="105"/>
      <c r="E64" s="105">
        <f>F67</f>
        <v>138934.15999999997</v>
      </c>
      <c r="F64" s="105">
        <f>G67</f>
        <v>175841.58999999997</v>
      </c>
      <c r="G64" s="105">
        <f>H67</f>
        <v>105292.60999999999</v>
      </c>
      <c r="H64" s="105">
        <v>110221.81</v>
      </c>
      <c r="I64" s="105"/>
    </row>
    <row r="65" spans="1:20" hidden="1">
      <c r="A65" t="s">
        <v>560</v>
      </c>
      <c r="B65" s="105">
        <f>50891.39</f>
        <v>50891.39</v>
      </c>
      <c r="C65" s="105">
        <v>83595.929999999993</v>
      </c>
      <c r="D65" s="105"/>
      <c r="E65" s="105">
        <v>81341.83</v>
      </c>
      <c r="F65" s="105">
        <v>81738.03</v>
      </c>
      <c r="G65" s="105">
        <v>121201.98</v>
      </c>
      <c r="H65" s="105">
        <v>88230.8</v>
      </c>
      <c r="I65" s="105">
        <f>SUM(B65:H65)</f>
        <v>506999.96</v>
      </c>
    </row>
    <row r="66" spans="1:20" hidden="1">
      <c r="A66" t="s">
        <v>561</v>
      </c>
      <c r="B66" s="105">
        <f>-9301.76-82.8</f>
        <v>-9384.56</v>
      </c>
      <c r="C66" s="105">
        <v>-73369.47</v>
      </c>
      <c r="D66" s="105"/>
      <c r="E66" s="105">
        <v>-115868</v>
      </c>
      <c r="F66" s="105">
        <v>-118645.46</v>
      </c>
      <c r="G66" s="105">
        <v>-50653</v>
      </c>
      <c r="H66" s="105">
        <v>-93160</v>
      </c>
      <c r="I66" s="105">
        <f>SUM(B66:H66)</f>
        <v>-461080.49</v>
      </c>
    </row>
    <row r="67" spans="1:20" ht="15" hidden="1" thickBot="1">
      <c r="A67" s="111" t="s">
        <v>557</v>
      </c>
      <c r="B67" s="113">
        <v>119690.42</v>
      </c>
      <c r="C67" s="113">
        <f>SUM(C64:C66)</f>
        <v>114634.44999999998</v>
      </c>
      <c r="D67" s="113"/>
      <c r="E67" s="113">
        <f>SUM(E64:E66)</f>
        <v>104407.98999999999</v>
      </c>
      <c r="F67" s="113">
        <f>SUM(F64:F66)</f>
        <v>138934.15999999997</v>
      </c>
      <c r="G67" s="113">
        <f>SUM(G64:G66)</f>
        <v>175841.58999999997</v>
      </c>
      <c r="H67" s="113">
        <f>SUM(H64:H66)</f>
        <v>105292.60999999999</v>
      </c>
      <c r="I67" s="113"/>
    </row>
    <row r="68" spans="1:20" hidden="1">
      <c r="A68" s="119"/>
      <c r="B68" s="120"/>
      <c r="C68" s="120"/>
      <c r="D68" s="120"/>
      <c r="E68" s="120"/>
      <c r="F68" s="120"/>
      <c r="G68" s="120"/>
      <c r="H68" s="120"/>
      <c r="I68" s="120"/>
    </row>
    <row r="69" spans="1:20" ht="5.25" hidden="1" customHeight="1">
      <c r="A69" s="119"/>
      <c r="B69" s="120"/>
      <c r="C69" s="120"/>
      <c r="D69" s="120"/>
      <c r="E69" s="120"/>
      <c r="F69" s="120"/>
      <c r="G69" s="120"/>
      <c r="H69" s="120"/>
      <c r="I69" s="120"/>
    </row>
    <row r="70" spans="1:20" hidden="1"/>
    <row r="71" spans="1:20" ht="29" thickBot="1">
      <c r="A71" s="84" t="s">
        <v>569</v>
      </c>
      <c r="B71" s="110"/>
      <c r="C71" s="110"/>
      <c r="D71" s="110"/>
      <c r="E71" s="110"/>
    </row>
    <row r="72" spans="1:20" ht="8.25" customHeight="1"/>
    <row r="73" spans="1:20" ht="21">
      <c r="A73" s="494" t="s">
        <v>1032</v>
      </c>
      <c r="B73" s="121"/>
      <c r="C73" s="122"/>
      <c r="D73" s="122"/>
      <c r="E73" s="122"/>
      <c r="F73" s="123"/>
      <c r="G73" s="123"/>
      <c r="H73" s="123"/>
      <c r="I73" s="123" t="s">
        <v>1058</v>
      </c>
      <c r="J73" s="123"/>
    </row>
    <row r="74" spans="1:20" ht="8.25" customHeight="1" thickBot="1">
      <c r="A74" s="124"/>
      <c r="B74" s="123"/>
      <c r="C74" s="122"/>
      <c r="D74" s="122"/>
      <c r="E74" s="122"/>
      <c r="F74" s="123"/>
      <c r="G74" s="123"/>
      <c r="H74" s="123"/>
      <c r="I74" s="125"/>
      <c r="J74" s="123"/>
    </row>
    <row r="75" spans="1:20" ht="42.75" customHeight="1" thickBot="1">
      <c r="A75" s="495" t="s">
        <v>642</v>
      </c>
      <c r="B75" s="484" t="s">
        <v>570</v>
      </c>
      <c r="C75" s="485" t="s">
        <v>571</v>
      </c>
      <c r="D75" s="484"/>
      <c r="E75" s="484" t="s">
        <v>572</v>
      </c>
      <c r="F75" s="486" t="s">
        <v>974</v>
      </c>
      <c r="G75" s="487" t="s">
        <v>573</v>
      </c>
      <c r="H75" s="488" t="s">
        <v>574</v>
      </c>
      <c r="I75" s="488" t="s">
        <v>575</v>
      </c>
      <c r="J75" s="488" t="s">
        <v>576</v>
      </c>
      <c r="K75" s="126" t="s">
        <v>577</v>
      </c>
      <c r="L75" s="126" t="s">
        <v>578</v>
      </c>
      <c r="M75" s="126" t="s">
        <v>579</v>
      </c>
      <c r="O75" s="526" t="s">
        <v>1034</v>
      </c>
      <c r="P75" s="527"/>
      <c r="Q75" s="521" t="s">
        <v>1030</v>
      </c>
      <c r="R75" s="522"/>
      <c r="S75" s="493" t="s">
        <v>15</v>
      </c>
      <c r="T75" s="493" t="s">
        <v>1031</v>
      </c>
    </row>
    <row r="76" spans="1:20">
      <c r="A76" s="127" t="s">
        <v>580</v>
      </c>
      <c r="B76" s="128">
        <v>124554</v>
      </c>
      <c r="C76" s="129">
        <v>78028</v>
      </c>
      <c r="D76" s="130"/>
      <c r="E76" s="131">
        <v>99157</v>
      </c>
      <c r="F76" s="132">
        <f>G76*F81</f>
        <v>77247.720000000016</v>
      </c>
      <c r="G76" s="133">
        <v>6.5354681568887601E-2</v>
      </c>
      <c r="H76" s="134">
        <v>65354.681568887601</v>
      </c>
      <c r="I76" s="134">
        <v>65354.681568887601</v>
      </c>
      <c r="J76" s="135">
        <v>30697.680817946995</v>
      </c>
      <c r="K76" s="136">
        <v>65354.681568887601</v>
      </c>
      <c r="L76" s="136">
        <v>20697.404470666279</v>
      </c>
      <c r="M76" s="136">
        <f>K76+L76</f>
        <v>86052.086039553877</v>
      </c>
      <c r="O76" s="213" t="s">
        <v>1027</v>
      </c>
      <c r="P76" s="72"/>
      <c r="Q76" s="518">
        <v>60000</v>
      </c>
      <c r="R76" s="518"/>
      <c r="S76" s="483">
        <f>T99</f>
        <v>69386</v>
      </c>
      <c r="T76" s="523" t="s">
        <v>1033</v>
      </c>
    </row>
    <row r="77" spans="1:20">
      <c r="A77" s="127" t="s">
        <v>581</v>
      </c>
      <c r="B77" s="137">
        <v>1095942</v>
      </c>
      <c r="C77" s="129">
        <v>676559</v>
      </c>
      <c r="D77" s="138"/>
      <c r="E77" s="122">
        <v>872479</v>
      </c>
      <c r="F77" s="139">
        <f>G77*F81</f>
        <v>669793.41</v>
      </c>
      <c r="G77" s="133">
        <v>0.56667219469376406</v>
      </c>
      <c r="H77" s="134">
        <v>566672.19469376409</v>
      </c>
      <c r="I77" s="134">
        <v>566672.19469376409</v>
      </c>
      <c r="J77" s="135">
        <v>220991.80530623591</v>
      </c>
      <c r="K77" s="136">
        <v>566672.19469376409</v>
      </c>
      <c r="L77" s="136">
        <v>170001.65840812921</v>
      </c>
      <c r="M77" s="136">
        <f t="shared" ref="M77:M80" si="0">K77+L77</f>
        <v>736673.85310189333</v>
      </c>
      <c r="O77" s="213" t="s">
        <v>134</v>
      </c>
      <c r="P77" s="72"/>
      <c r="Q77" s="519">
        <v>520000</v>
      </c>
      <c r="R77" s="519"/>
      <c r="S77" s="482">
        <f>T97</f>
        <v>790300</v>
      </c>
      <c r="T77" s="524"/>
    </row>
    <row r="78" spans="1:20">
      <c r="A78" s="127" t="s">
        <v>582</v>
      </c>
      <c r="B78" s="137">
        <v>347952</v>
      </c>
      <c r="C78" s="129">
        <v>217977</v>
      </c>
      <c r="D78" s="138"/>
      <c r="E78" s="122">
        <v>277005</v>
      </c>
      <c r="F78" s="139">
        <f>G78*F81</f>
        <v>215797.23000000004</v>
      </c>
      <c r="G78" s="133">
        <v>0.18257314584945677</v>
      </c>
      <c r="H78" s="134">
        <f>182573.145849457</f>
        <v>182573.14584945701</v>
      </c>
      <c r="I78" s="134">
        <f>182573.145849457</f>
        <v>182573.14584945701</v>
      </c>
      <c r="J78" s="135">
        <v>85756.246112339577</v>
      </c>
      <c r="K78" s="136">
        <f>182573.145849457</f>
        <v>182573.14584945701</v>
      </c>
      <c r="L78" s="136">
        <v>54771.943754837033</v>
      </c>
      <c r="M78" s="136">
        <f t="shared" si="0"/>
        <v>237345.08960429404</v>
      </c>
      <c r="O78" s="213" t="s">
        <v>1028</v>
      </c>
      <c r="P78" s="72"/>
      <c r="Q78" s="519">
        <v>350000</v>
      </c>
      <c r="R78" s="519"/>
      <c r="S78" s="483">
        <f>T98</f>
        <v>324900</v>
      </c>
      <c r="T78" s="524"/>
    </row>
    <row r="79" spans="1:20">
      <c r="A79" s="127" t="s">
        <v>583</v>
      </c>
      <c r="B79" s="137">
        <v>150378</v>
      </c>
      <c r="C79" s="129">
        <v>104205</v>
      </c>
      <c r="D79" s="138"/>
      <c r="E79" s="122">
        <v>119716</v>
      </c>
      <c r="F79" s="139">
        <f>G79*F81</f>
        <v>103162.95000000003</v>
      </c>
      <c r="G79" s="133">
        <v>8.7280009648920034E-2</v>
      </c>
      <c r="H79" s="134">
        <v>87280.009648920037</v>
      </c>
      <c r="I79" s="134">
        <v>87280.009648920037</v>
      </c>
      <c r="J79" s="135">
        <v>40996.204306584383</v>
      </c>
      <c r="K79" s="136">
        <v>87280.009648920037</v>
      </c>
      <c r="L79" s="136">
        <v>26184.00289467601</v>
      </c>
      <c r="M79" s="136">
        <f t="shared" si="0"/>
        <v>113464.01254359605</v>
      </c>
      <c r="O79" s="213" t="s">
        <v>1029</v>
      </c>
      <c r="P79" s="72"/>
      <c r="Q79" s="519">
        <v>120000</v>
      </c>
      <c r="R79" s="519"/>
      <c r="S79" s="483">
        <f>T101</f>
        <v>120000</v>
      </c>
      <c r="T79" s="524"/>
    </row>
    <row r="80" spans="1:20" ht="15" thickBot="1">
      <c r="A80" s="127" t="s">
        <v>103</v>
      </c>
      <c r="B80" s="137">
        <v>187000</v>
      </c>
      <c r="C80" s="129">
        <v>117147</v>
      </c>
      <c r="D80" s="138"/>
      <c r="E80" s="122">
        <v>148871</v>
      </c>
      <c r="F80" s="139">
        <f>G80*F81</f>
        <v>115975.53</v>
      </c>
      <c r="G80" s="133">
        <v>9.811996823897158E-2</v>
      </c>
      <c r="H80" s="134">
        <v>98119.968238971574</v>
      </c>
      <c r="I80" s="134">
        <v>98119.968238971574</v>
      </c>
      <c r="J80" s="135">
        <v>46087.830199159733</v>
      </c>
      <c r="K80" s="136">
        <v>98119.968238971574</v>
      </c>
      <c r="L80" s="136">
        <v>29435.990471691475</v>
      </c>
      <c r="M80" s="136">
        <f t="shared" si="0"/>
        <v>127555.95871066305</v>
      </c>
      <c r="O80" s="213" t="s">
        <v>184</v>
      </c>
      <c r="P80" s="72"/>
      <c r="Q80" s="518">
        <v>60000</v>
      </c>
      <c r="R80" s="518"/>
      <c r="S80" s="483">
        <f>T100</f>
        <v>60000</v>
      </c>
      <c r="T80" s="525"/>
    </row>
    <row r="81" spans="1:21" ht="15" thickBot="1">
      <c r="A81" s="140"/>
      <c r="B81" s="141">
        <v>1905826</v>
      </c>
      <c r="C81" s="142">
        <v>1193916</v>
      </c>
      <c r="D81" s="141"/>
      <c r="E81" s="141">
        <v>1517228</v>
      </c>
      <c r="F81" s="143">
        <f>1193916*99%</f>
        <v>1181976.8400000001</v>
      </c>
      <c r="G81" s="144"/>
      <c r="H81" s="145">
        <f t="shared" ref="H81:M81" si="1">SUM(H76:H80)</f>
        <v>1000000.0000000002</v>
      </c>
      <c r="I81" s="145">
        <f t="shared" si="1"/>
        <v>1000000.0000000002</v>
      </c>
      <c r="J81" s="146">
        <f t="shared" si="1"/>
        <v>424529.7667422666</v>
      </c>
      <c r="K81" s="147">
        <f t="shared" si="1"/>
        <v>1000000.0000000002</v>
      </c>
      <c r="L81" s="147">
        <f t="shared" si="1"/>
        <v>301091</v>
      </c>
      <c r="M81" s="147">
        <f t="shared" si="1"/>
        <v>1301091.0000000002</v>
      </c>
      <c r="O81" s="489"/>
      <c r="P81" s="490"/>
      <c r="Q81" s="520">
        <f>SUM(Q76:R80)</f>
        <v>1110000</v>
      </c>
      <c r="R81" s="520"/>
      <c r="S81" s="491">
        <f>SUM(S76:S80)</f>
        <v>1364586</v>
      </c>
      <c r="T81" s="492"/>
    </row>
    <row r="82" spans="1:21">
      <c r="A82" s="148"/>
      <c r="F82" s="149"/>
    </row>
    <row r="83" spans="1:21" ht="15" thickBot="1">
      <c r="A83" s="150"/>
      <c r="D83" s="119"/>
      <c r="E83" s="151"/>
      <c r="M83" s="152"/>
    </row>
    <row r="84" spans="1:21" ht="16" thickBot="1">
      <c r="A84" s="153" t="s">
        <v>584</v>
      </c>
      <c r="B84" s="154"/>
      <c r="C84" s="155"/>
      <c r="D84" s="119"/>
      <c r="E84" s="151"/>
      <c r="F84" s="151"/>
      <c r="G84" s="156" t="s">
        <v>585</v>
      </c>
      <c r="H84" s="157"/>
      <c r="I84" s="157"/>
      <c r="J84" s="157"/>
      <c r="K84" s="157"/>
      <c r="L84" s="157"/>
      <c r="M84" s="158"/>
      <c r="O84" s="508" t="s">
        <v>641</v>
      </c>
      <c r="P84" s="509"/>
      <c r="Q84" s="509"/>
      <c r="R84" s="509"/>
      <c r="S84" s="509"/>
      <c r="T84" s="510"/>
    </row>
    <row r="85" spans="1:21" ht="29">
      <c r="A85" s="159" t="s">
        <v>586</v>
      </c>
      <c r="B85" s="160"/>
      <c r="C85" s="161"/>
      <c r="D85" s="119"/>
      <c r="E85" s="151"/>
      <c r="F85" s="151"/>
      <c r="G85" s="162" t="s">
        <v>581</v>
      </c>
      <c r="H85" s="72"/>
      <c r="I85" s="72"/>
      <c r="J85" s="163" t="s">
        <v>587</v>
      </c>
      <c r="K85" s="163" t="s">
        <v>588</v>
      </c>
      <c r="L85" s="163" t="s">
        <v>589</v>
      </c>
      <c r="M85" s="163" t="s">
        <v>590</v>
      </c>
      <c r="O85" s="209" t="s">
        <v>642</v>
      </c>
      <c r="P85" s="210"/>
      <c r="Q85" s="328" t="s">
        <v>936</v>
      </c>
      <c r="R85" s="329" t="s">
        <v>975</v>
      </c>
      <c r="S85" s="211" t="s">
        <v>14</v>
      </c>
      <c r="T85" s="212" t="s">
        <v>15</v>
      </c>
      <c r="U85" s="208"/>
    </row>
    <row r="86" spans="1:21">
      <c r="A86" s="164" t="s">
        <v>591</v>
      </c>
      <c r="B86" s="165">
        <f>-K81-L81</f>
        <v>-1301091.0000000002</v>
      </c>
      <c r="C86" s="161"/>
      <c r="D86" s="166"/>
      <c r="E86" s="151"/>
      <c r="F86" s="151"/>
      <c r="G86" s="167" t="s">
        <v>1035</v>
      </c>
      <c r="H86" s="72"/>
      <c r="I86" s="72"/>
      <c r="J86" s="168"/>
      <c r="K86" s="168"/>
      <c r="L86" s="168">
        <f>1683+1600</f>
        <v>3283</v>
      </c>
      <c r="M86" s="169" t="s">
        <v>148</v>
      </c>
      <c r="O86" s="213" t="s">
        <v>937</v>
      </c>
      <c r="P86" s="72"/>
      <c r="Q86" s="322" t="s">
        <v>981</v>
      </c>
      <c r="R86" s="335">
        <v>81</v>
      </c>
      <c r="S86" s="214">
        <f>'Operational-AA'!N86</f>
        <v>1972773</v>
      </c>
      <c r="T86" s="215">
        <f>'Operational-AA'!O86</f>
        <v>736674</v>
      </c>
    </row>
    <row r="87" spans="1:21">
      <c r="A87" s="170" t="s">
        <v>592</v>
      </c>
      <c r="B87" s="171">
        <f>-L105</f>
        <v>-555561</v>
      </c>
      <c r="C87" s="172" t="s">
        <v>593</v>
      </c>
      <c r="D87" s="166"/>
      <c r="E87" s="151"/>
      <c r="F87" s="151"/>
      <c r="G87" s="173" t="s">
        <v>638</v>
      </c>
      <c r="H87" s="119"/>
      <c r="I87" s="119"/>
      <c r="J87" s="174"/>
      <c r="K87" s="174"/>
      <c r="L87" s="174">
        <v>20000</v>
      </c>
      <c r="M87" s="175" t="s">
        <v>148</v>
      </c>
      <c r="O87" s="213" t="s">
        <v>643</v>
      </c>
      <c r="P87" s="72"/>
      <c r="Q87" s="362" t="s">
        <v>982</v>
      </c>
      <c r="R87" s="330">
        <v>16</v>
      </c>
      <c r="S87" s="216">
        <f>'Operational-SA'!N20</f>
        <v>715259</v>
      </c>
      <c r="T87" s="217">
        <f>'Operational-SA'!O20</f>
        <v>237345</v>
      </c>
    </row>
    <row r="88" spans="1:21">
      <c r="A88" s="164" t="s">
        <v>594</v>
      </c>
      <c r="B88" s="176">
        <v>-300000</v>
      </c>
      <c r="C88" s="172"/>
      <c r="D88" s="166"/>
      <c r="E88" s="151"/>
      <c r="F88" s="151"/>
      <c r="G88" s="173" t="s">
        <v>639</v>
      </c>
      <c r="H88" s="119"/>
      <c r="I88" s="119"/>
      <c r="J88" s="174"/>
      <c r="K88" s="174"/>
      <c r="L88" s="174">
        <v>12488</v>
      </c>
      <c r="M88" s="175" t="s">
        <v>148</v>
      </c>
      <c r="O88" s="213" t="s">
        <v>583</v>
      </c>
      <c r="P88" s="72"/>
      <c r="Q88" s="323">
        <v>29</v>
      </c>
      <c r="R88" s="330">
        <v>3</v>
      </c>
      <c r="S88" s="216">
        <f>'Operational Admin Serv'!N6</f>
        <v>217500</v>
      </c>
      <c r="T88" s="217">
        <f>'Operational Admin Serv'!O6</f>
        <v>113464</v>
      </c>
    </row>
    <row r="89" spans="1:21">
      <c r="A89" s="164" t="s">
        <v>596</v>
      </c>
      <c r="B89" s="180">
        <v>0</v>
      </c>
      <c r="C89" s="172"/>
      <c r="D89" s="119"/>
      <c r="E89" s="151"/>
      <c r="F89" s="151"/>
      <c r="G89" s="167"/>
      <c r="H89" s="177" t="s">
        <v>595</v>
      </c>
      <c r="I89" s="72"/>
      <c r="J89" s="178">
        <f>SUM(J86:J87)</f>
        <v>0</v>
      </c>
      <c r="K89" s="178">
        <f>SUM(K86:K87)</f>
        <v>0</v>
      </c>
      <c r="L89" s="178">
        <f>SUM(L86:L88)</f>
        <v>35771</v>
      </c>
      <c r="M89" s="179"/>
      <c r="O89" s="213" t="s">
        <v>644</v>
      </c>
      <c r="P89" s="72"/>
      <c r="Q89" s="323">
        <v>30</v>
      </c>
      <c r="R89" s="330">
        <v>3</v>
      </c>
      <c r="S89" s="216">
        <f>'Operational IT'!N6</f>
        <v>270788</v>
      </c>
      <c r="T89" s="217">
        <f>'Operational IT'!O6</f>
        <v>127556</v>
      </c>
    </row>
    <row r="90" spans="1:21" ht="15" thickBot="1">
      <c r="A90" s="181" t="s">
        <v>598</v>
      </c>
      <c r="B90" s="182">
        <f>SUM(B86:B89)</f>
        <v>-2156652</v>
      </c>
      <c r="C90" s="172" t="s">
        <v>599</v>
      </c>
      <c r="D90" s="119"/>
      <c r="E90" s="151"/>
      <c r="F90" s="151"/>
      <c r="G90" s="162" t="s">
        <v>597</v>
      </c>
      <c r="H90" s="72"/>
      <c r="I90" s="72"/>
      <c r="J90" s="168"/>
      <c r="K90" s="168"/>
      <c r="L90" s="168"/>
      <c r="M90" s="169"/>
      <c r="O90" s="213" t="s">
        <v>645</v>
      </c>
      <c r="P90" s="72"/>
      <c r="Q90" s="362" t="s">
        <v>983</v>
      </c>
      <c r="R90" s="330">
        <v>15</v>
      </c>
      <c r="S90" s="216">
        <f>'Operational President Office'!N19</f>
        <v>262778</v>
      </c>
      <c r="T90" s="217">
        <f>'Operational President Office'!O19</f>
        <v>86052</v>
      </c>
    </row>
    <row r="91" spans="1:21">
      <c r="A91" s="164"/>
      <c r="B91" s="160"/>
      <c r="C91" s="161"/>
      <c r="D91" s="119"/>
      <c r="E91" s="151"/>
      <c r="F91" s="151"/>
      <c r="G91" s="167" t="s">
        <v>600</v>
      </c>
      <c r="H91" s="72"/>
      <c r="I91" s="72"/>
      <c r="J91" s="168">
        <v>5000</v>
      </c>
      <c r="K91" s="168">
        <v>5000</v>
      </c>
      <c r="L91" s="168">
        <v>5000</v>
      </c>
      <c r="M91" s="169" t="s">
        <v>104</v>
      </c>
      <c r="O91" s="218"/>
      <c r="P91" s="219" t="s">
        <v>646</v>
      </c>
      <c r="Q91" s="324"/>
      <c r="R91" s="331">
        <f>SUM(R86:R90)</f>
        <v>118</v>
      </c>
      <c r="S91" s="220">
        <f>SUM(S86:S90)</f>
        <v>3439098</v>
      </c>
      <c r="T91" s="221">
        <f>SUM(T86:T90)</f>
        <v>1301091</v>
      </c>
    </row>
    <row r="92" spans="1:21">
      <c r="A92" s="164"/>
      <c r="B92" s="160"/>
      <c r="C92" s="161"/>
      <c r="D92" s="119"/>
      <c r="E92" s="151"/>
      <c r="F92" s="151"/>
      <c r="G92" s="173" t="s">
        <v>601</v>
      </c>
      <c r="H92" s="119"/>
      <c r="I92" s="119"/>
      <c r="J92" s="174">
        <v>50000</v>
      </c>
      <c r="K92" s="174">
        <v>50000</v>
      </c>
      <c r="L92" s="174">
        <v>50000</v>
      </c>
      <c r="M92" s="175" t="s">
        <v>104</v>
      </c>
      <c r="O92" s="213"/>
      <c r="P92" s="72"/>
      <c r="Q92" s="323"/>
      <c r="R92" s="330"/>
      <c r="S92" s="72"/>
      <c r="T92" s="222"/>
    </row>
    <row r="93" spans="1:21" ht="15.5">
      <c r="A93" s="159" t="s">
        <v>602</v>
      </c>
      <c r="B93" s="160"/>
      <c r="C93" s="161"/>
      <c r="D93" s="119"/>
      <c r="E93" s="151"/>
      <c r="F93" s="151"/>
      <c r="G93" s="173" t="s">
        <v>640</v>
      </c>
      <c r="H93" s="119"/>
      <c r="I93" s="119"/>
      <c r="J93" s="174"/>
      <c r="K93" s="174"/>
      <c r="L93" s="174">
        <v>5000</v>
      </c>
      <c r="M93" s="175" t="s">
        <v>104</v>
      </c>
      <c r="O93" s="223" t="s">
        <v>157</v>
      </c>
      <c r="P93" s="72"/>
      <c r="Q93" s="362" t="s">
        <v>984</v>
      </c>
      <c r="R93" s="330">
        <v>18</v>
      </c>
      <c r="S93" s="214">
        <f>'PROP 301'!O21</f>
        <v>787487</v>
      </c>
      <c r="T93" s="215">
        <f>'PROP 301'!P21</f>
        <v>288798</v>
      </c>
    </row>
    <row r="94" spans="1:21">
      <c r="A94" s="164" t="s">
        <v>603</v>
      </c>
      <c r="B94" s="176">
        <v>1440437</v>
      </c>
      <c r="C94" s="161"/>
      <c r="D94" s="119"/>
      <c r="E94" s="151"/>
      <c r="F94" s="151"/>
      <c r="G94" s="173"/>
      <c r="H94" s="119"/>
      <c r="I94" s="119"/>
      <c r="J94" s="174"/>
      <c r="K94" s="174"/>
      <c r="L94" s="174"/>
      <c r="M94" s="175"/>
      <c r="O94" s="310"/>
      <c r="P94" s="311" t="s">
        <v>646</v>
      </c>
      <c r="Q94" s="324"/>
      <c r="R94" s="331">
        <v>18</v>
      </c>
      <c r="S94" s="312">
        <f>S93</f>
        <v>787487</v>
      </c>
      <c r="T94" s="313">
        <f>T93</f>
        <v>288798</v>
      </c>
    </row>
    <row r="95" spans="1:21">
      <c r="A95" s="164" t="s">
        <v>604</v>
      </c>
      <c r="B95" s="176">
        <f>600000-67217</f>
        <v>532783</v>
      </c>
      <c r="C95" s="161"/>
      <c r="D95" s="119"/>
      <c r="E95" s="151"/>
      <c r="F95" s="151"/>
      <c r="G95" s="167"/>
      <c r="H95" s="177" t="s">
        <v>595</v>
      </c>
      <c r="I95" s="72"/>
      <c r="J95" s="178">
        <f>SUM(J91:J92)</f>
        <v>55000</v>
      </c>
      <c r="K95" s="178">
        <f>SUM(K91:K94)</f>
        <v>55000</v>
      </c>
      <c r="L95" s="178">
        <f>SUM(L91:L94)</f>
        <v>60000</v>
      </c>
      <c r="M95" s="179"/>
      <c r="O95" s="310"/>
      <c r="P95" s="311"/>
      <c r="Q95" s="324"/>
      <c r="R95" s="331"/>
      <c r="S95" s="312"/>
      <c r="T95" s="313"/>
    </row>
    <row r="96" spans="1:21">
      <c r="A96" s="164" t="s">
        <v>605</v>
      </c>
      <c r="B96" s="176">
        <f>B113+B115-8400</f>
        <v>191432</v>
      </c>
      <c r="C96" s="161" t="s">
        <v>606</v>
      </c>
      <c r="D96" s="166"/>
      <c r="E96" s="151"/>
      <c r="F96" s="151"/>
      <c r="G96" s="162" t="s">
        <v>583</v>
      </c>
      <c r="H96" s="72"/>
      <c r="I96" s="72"/>
      <c r="J96" s="168"/>
      <c r="K96" s="168"/>
      <c r="L96" s="168"/>
      <c r="M96" s="169"/>
      <c r="O96" s="223" t="s">
        <v>647</v>
      </c>
      <c r="P96" s="72"/>
      <c r="Q96" s="323"/>
      <c r="R96" s="330"/>
      <c r="S96" s="72"/>
      <c r="T96" s="222"/>
    </row>
    <row r="97" spans="1:20" ht="15" thickBot="1">
      <c r="A97" s="181" t="s">
        <v>598</v>
      </c>
      <c r="B97" s="182">
        <f>SUM(B94:B96)</f>
        <v>2164652</v>
      </c>
      <c r="C97" s="172" t="s">
        <v>608</v>
      </c>
      <c r="D97" s="119"/>
      <c r="E97" s="151"/>
      <c r="F97" s="151"/>
      <c r="G97" s="173" t="s">
        <v>607</v>
      </c>
      <c r="H97" s="119"/>
      <c r="I97" s="119"/>
      <c r="J97" s="174"/>
      <c r="K97" s="174"/>
      <c r="L97" s="174">
        <v>40000</v>
      </c>
      <c r="M97" s="175" t="s">
        <v>148</v>
      </c>
      <c r="O97" s="213" t="s">
        <v>648</v>
      </c>
      <c r="P97" s="72"/>
      <c r="Q97" s="362" t="s">
        <v>985</v>
      </c>
      <c r="R97" s="330">
        <v>18</v>
      </c>
      <c r="S97" s="214">
        <v>1134677</v>
      </c>
      <c r="T97" s="215">
        <f>'CAP. TECH'!Q21</f>
        <v>790300</v>
      </c>
    </row>
    <row r="98" spans="1:20">
      <c r="A98" s="164"/>
      <c r="B98" s="160"/>
      <c r="C98" s="161"/>
      <c r="D98" s="166"/>
      <c r="E98" s="151"/>
      <c r="F98" s="151"/>
      <c r="G98" s="167"/>
      <c r="H98" s="177" t="s">
        <v>595</v>
      </c>
      <c r="I98" s="72"/>
      <c r="J98" s="179">
        <f>J97</f>
        <v>0</v>
      </c>
      <c r="K98" s="179">
        <f>K97</f>
        <v>0</v>
      </c>
      <c r="L98" s="179">
        <f>L97</f>
        <v>40000</v>
      </c>
      <c r="M98" s="179"/>
      <c r="O98" s="213" t="s">
        <v>649</v>
      </c>
      <c r="P98" s="72"/>
      <c r="Q98" s="362" t="s">
        <v>986</v>
      </c>
      <c r="R98" s="330">
        <v>16</v>
      </c>
      <c r="S98" s="216">
        <v>334900</v>
      </c>
      <c r="T98" s="217">
        <f>'OCC CAPITAL'!Q24</f>
        <v>324900</v>
      </c>
    </row>
    <row r="99" spans="1:20">
      <c r="A99" s="181" t="s">
        <v>610</v>
      </c>
      <c r="B99" s="183">
        <f>B90+B97</f>
        <v>8000</v>
      </c>
      <c r="C99" s="172" t="s">
        <v>611</v>
      </c>
      <c r="D99" s="119"/>
      <c r="E99" s="151"/>
      <c r="F99" s="151"/>
      <c r="G99" s="162" t="s">
        <v>609</v>
      </c>
      <c r="H99" s="72"/>
      <c r="I99" s="72"/>
      <c r="J99" s="168"/>
      <c r="K99" s="168"/>
      <c r="L99" s="168"/>
      <c r="M99" s="169"/>
      <c r="O99" s="213" t="s">
        <v>650</v>
      </c>
      <c r="P99" s="72"/>
      <c r="Q99" s="323">
        <v>49</v>
      </c>
      <c r="R99" s="330">
        <v>7</v>
      </c>
      <c r="S99" s="216">
        <v>148286</v>
      </c>
      <c r="T99" s="217">
        <v>69386</v>
      </c>
    </row>
    <row r="100" spans="1:20">
      <c r="A100" s="164"/>
      <c r="B100" s="165"/>
      <c r="C100" s="161"/>
      <c r="D100" s="119"/>
      <c r="E100" s="151"/>
      <c r="F100" s="151"/>
      <c r="G100" s="173" t="s">
        <v>612</v>
      </c>
      <c r="H100" s="119"/>
      <c r="I100" s="119"/>
      <c r="J100" s="174">
        <v>35000</v>
      </c>
      <c r="K100" s="174">
        <v>25000</v>
      </c>
      <c r="L100" s="174">
        <v>30000</v>
      </c>
      <c r="M100" s="175" t="s">
        <v>148</v>
      </c>
      <c r="O100" s="213" t="s">
        <v>651</v>
      </c>
      <c r="P100" s="72"/>
      <c r="Q100" s="362" t="s">
        <v>987</v>
      </c>
      <c r="R100" s="330">
        <v>1</v>
      </c>
      <c r="S100" s="216">
        <v>60000</v>
      </c>
      <c r="T100" s="217">
        <v>60000</v>
      </c>
    </row>
    <row r="101" spans="1:20" ht="15.5">
      <c r="A101" s="159" t="s">
        <v>613</v>
      </c>
      <c r="B101" s="160"/>
      <c r="C101" s="161"/>
      <c r="D101" s="119"/>
      <c r="E101" s="151"/>
      <c r="F101" s="151"/>
      <c r="G101" s="167"/>
      <c r="H101" s="177" t="s">
        <v>595</v>
      </c>
      <c r="I101" s="72"/>
      <c r="J101" s="178">
        <f>SUM(J100:J100)</f>
        <v>35000</v>
      </c>
      <c r="K101" s="178">
        <f>SUM(K100:K100)</f>
        <v>25000</v>
      </c>
      <c r="L101" s="178">
        <f>SUM(L100:L100)</f>
        <v>30000</v>
      </c>
      <c r="M101" s="179"/>
      <c r="O101" s="213" t="s">
        <v>652</v>
      </c>
      <c r="P101" s="72"/>
      <c r="Q101" s="323"/>
      <c r="R101" s="330">
        <v>22</v>
      </c>
      <c r="S101" s="216">
        <v>884120</v>
      </c>
      <c r="T101" s="217">
        <v>120000</v>
      </c>
    </row>
    <row r="102" spans="1:20">
      <c r="A102" s="164" t="s">
        <v>615</v>
      </c>
      <c r="B102" s="176">
        <v>858000</v>
      </c>
      <c r="C102" s="161"/>
      <c r="D102" s="119"/>
      <c r="E102" s="151"/>
      <c r="F102" s="151"/>
      <c r="G102" s="162" t="s">
        <v>614</v>
      </c>
      <c r="H102" s="72"/>
      <c r="I102" s="72"/>
      <c r="J102" s="168"/>
      <c r="K102" s="168"/>
      <c r="L102" s="168"/>
      <c r="M102" s="169"/>
      <c r="O102" s="218"/>
      <c r="P102" s="219" t="s">
        <v>646</v>
      </c>
      <c r="Q102" s="324"/>
      <c r="R102" s="331">
        <f>SUM(R97:R101)</f>
        <v>64</v>
      </c>
      <c r="S102" s="220">
        <f>SUM(S97:S101)</f>
        <v>2561983</v>
      </c>
      <c r="T102" s="221">
        <f>SUM(T97:T101)</f>
        <v>1364586</v>
      </c>
    </row>
    <row r="103" spans="1:20">
      <c r="A103" s="164" t="s">
        <v>618</v>
      </c>
      <c r="B103" s="176">
        <v>234667.31999999998</v>
      </c>
      <c r="C103" s="161"/>
      <c r="D103" s="119"/>
      <c r="E103" s="151"/>
      <c r="F103" s="151"/>
      <c r="G103" s="184" t="s">
        <v>616</v>
      </c>
      <c r="H103" s="185"/>
      <c r="I103" s="185"/>
      <c r="J103" s="186">
        <v>0</v>
      </c>
      <c r="K103" s="186">
        <f>-B111</f>
        <v>406830</v>
      </c>
      <c r="L103" s="186">
        <f>-B114</f>
        <v>389790</v>
      </c>
      <c r="M103" s="187" t="s">
        <v>617</v>
      </c>
      <c r="O103" s="213"/>
      <c r="P103" s="72"/>
      <c r="Q103" s="325"/>
      <c r="R103" s="332"/>
      <c r="S103" s="72"/>
      <c r="T103" s="222"/>
    </row>
    <row r="104" spans="1:20">
      <c r="A104" s="164" t="s">
        <v>619</v>
      </c>
      <c r="B104" s="176">
        <v>323250.42000000016</v>
      </c>
      <c r="C104" s="161"/>
      <c r="D104" s="119"/>
      <c r="E104" s="151"/>
      <c r="F104" s="151"/>
      <c r="G104" s="162"/>
      <c r="H104" s="177" t="s">
        <v>595</v>
      </c>
      <c r="I104" s="72"/>
      <c r="J104" s="178">
        <f>SUM(J103:J103)</f>
        <v>0</v>
      </c>
      <c r="K104" s="178">
        <f>K103</f>
        <v>406830</v>
      </c>
      <c r="L104" s="178">
        <f>L103</f>
        <v>389790</v>
      </c>
      <c r="M104" s="179"/>
      <c r="O104" s="218"/>
      <c r="P104" s="219" t="s">
        <v>653</v>
      </c>
      <c r="Q104" s="326"/>
      <c r="R104" s="333">
        <f>R91+R102+R94</f>
        <v>200</v>
      </c>
      <c r="S104" s="220">
        <f>S102+S91+S94</f>
        <v>6788568</v>
      </c>
      <c r="T104" s="221">
        <f>T102+T91+T94</f>
        <v>2954475</v>
      </c>
    </row>
    <row r="105" spans="1:20" ht="15" thickBot="1">
      <c r="A105" s="164" t="s">
        <v>622</v>
      </c>
      <c r="B105" s="176">
        <f>[1]Prop301!R3</f>
        <v>288798</v>
      </c>
      <c r="C105" s="161"/>
      <c r="D105" s="119"/>
      <c r="E105" s="151"/>
      <c r="F105" s="151"/>
      <c r="G105" s="188" t="s">
        <v>620</v>
      </c>
      <c r="H105" s="189"/>
      <c r="I105" s="189"/>
      <c r="J105" s="190">
        <f>J89+J95+J98+J101</f>
        <v>90000</v>
      </c>
      <c r="K105" s="190">
        <f>K104+K101+K98+K95+K89</f>
        <v>486830</v>
      </c>
      <c r="L105" s="190">
        <f>L104+L101+L98+L95+L89</f>
        <v>555561</v>
      </c>
      <c r="M105" s="191" t="s">
        <v>621</v>
      </c>
      <c r="O105" s="224"/>
      <c r="P105" s="110"/>
      <c r="Q105" s="327"/>
      <c r="R105" s="334"/>
      <c r="S105" s="110"/>
      <c r="T105" s="225"/>
    </row>
    <row r="106" spans="1:20" ht="15" thickBot="1">
      <c r="A106" s="181" t="s">
        <v>598</v>
      </c>
      <c r="B106" s="192">
        <f>SUM(B102:B105)</f>
        <v>1704715.7400000002</v>
      </c>
      <c r="C106" s="161"/>
      <c r="D106" s="119"/>
      <c r="E106" s="151"/>
      <c r="F106" s="151"/>
      <c r="K106" s="118"/>
      <c r="L106" s="118"/>
      <c r="O106" s="103" t="s">
        <v>1037</v>
      </c>
    </row>
    <row r="107" spans="1:20">
      <c r="A107" s="502" t="s">
        <v>624</v>
      </c>
      <c r="B107" s="160"/>
      <c r="C107" s="161"/>
      <c r="D107" s="197"/>
      <c r="E107" s="197"/>
      <c r="F107" s="197"/>
      <c r="J107" s="193" t="s">
        <v>623</v>
      </c>
      <c r="K107" s="194"/>
      <c r="L107" s="195">
        <f>L104</f>
        <v>389790</v>
      </c>
      <c r="M107" s="196"/>
    </row>
    <row r="108" spans="1:20" ht="26.25" customHeight="1" thickBot="1">
      <c r="A108" s="528" t="s">
        <v>1060</v>
      </c>
      <c r="B108" s="529"/>
      <c r="C108" s="530"/>
      <c r="D108" s="197"/>
      <c r="E108" s="197"/>
      <c r="J108" s="198" t="s">
        <v>148</v>
      </c>
      <c r="K108" s="199"/>
      <c r="L108" s="199">
        <f>L105-L107</f>
        <v>165771</v>
      </c>
      <c r="M108" s="200"/>
    </row>
    <row r="109" spans="1:20" ht="9.65" customHeight="1" thickBot="1">
      <c r="D109" s="119"/>
      <c r="E109" s="151"/>
      <c r="F109" s="151"/>
    </row>
    <row r="110" spans="1:20" ht="15.5">
      <c r="A110" s="393" t="s">
        <v>625</v>
      </c>
      <c r="B110" s="115"/>
      <c r="C110" s="369"/>
      <c r="D110" s="119"/>
      <c r="E110" s="151"/>
      <c r="F110" s="151"/>
      <c r="G110" s="201" t="s">
        <v>626</v>
      </c>
      <c r="H110" s="202"/>
      <c r="I110" s="202"/>
      <c r="J110" s="203"/>
      <c r="K110" s="373"/>
      <c r="L110" s="515" t="s">
        <v>636</v>
      </c>
      <c r="M110" s="516"/>
      <c r="N110" s="517"/>
      <c r="O110" s="376"/>
      <c r="P110" s="379"/>
      <c r="Q110" s="384"/>
      <c r="R110" s="385"/>
      <c r="S110" s="366"/>
      <c r="T110" s="401"/>
    </row>
    <row r="111" spans="1:20" ht="15.75" customHeight="1" thickBot="1">
      <c r="A111" s="394" t="s">
        <v>988</v>
      </c>
      <c r="B111" s="395">
        <f>-191*2130</f>
        <v>-406830</v>
      </c>
      <c r="C111" s="396"/>
      <c r="D111" s="119"/>
      <c r="E111" s="151"/>
      <c r="F111" s="151"/>
      <c r="G111" s="204" t="s">
        <v>627</v>
      </c>
      <c r="H111" s="205"/>
      <c r="I111" s="205"/>
      <c r="J111" s="370">
        <v>118917</v>
      </c>
      <c r="K111" s="373"/>
      <c r="L111" s="538" t="s">
        <v>990</v>
      </c>
      <c r="M111" s="539"/>
      <c r="N111" s="540"/>
      <c r="O111" s="382" t="s">
        <v>994</v>
      </c>
      <c r="P111" s="383" t="s">
        <v>992</v>
      </c>
      <c r="Q111" s="533">
        <v>-0.08</v>
      </c>
      <c r="R111" s="534"/>
      <c r="S111" s="390">
        <v>-0.1</v>
      </c>
      <c r="T111" s="402">
        <v>-0.12</v>
      </c>
    </row>
    <row r="112" spans="1:20" ht="15.75" customHeight="1">
      <c r="A112" s="394" t="s">
        <v>629</v>
      </c>
      <c r="B112" s="395">
        <v>485300</v>
      </c>
      <c r="C112" s="396"/>
      <c r="G112" s="204" t="s">
        <v>628</v>
      </c>
      <c r="H112" s="205"/>
      <c r="I112" s="205"/>
      <c r="J112" s="371">
        <v>61600</v>
      </c>
      <c r="K112" s="373"/>
      <c r="L112" s="515">
        <v>4564</v>
      </c>
      <c r="M112" s="516"/>
      <c r="N112" s="517"/>
      <c r="O112" s="377">
        <v>4381.4399999999996</v>
      </c>
      <c r="P112" s="380">
        <v>4290.16</v>
      </c>
      <c r="Q112" s="511">
        <v>4198.88</v>
      </c>
      <c r="R112" s="512"/>
      <c r="S112" s="367">
        <v>4107.6000000000004</v>
      </c>
      <c r="T112" s="403">
        <f>L112*88%</f>
        <v>4016.32</v>
      </c>
    </row>
    <row r="113" spans="1:20" ht="15" thickBot="1">
      <c r="A113" s="397" t="s">
        <v>1036</v>
      </c>
      <c r="B113" s="398">
        <f>B111+B112</f>
        <v>78470</v>
      </c>
      <c r="C113" s="396"/>
      <c r="G113" s="204" t="s">
        <v>630</v>
      </c>
      <c r="H113" s="205"/>
      <c r="I113" s="205"/>
      <c r="J113" s="371">
        <v>61600</v>
      </c>
      <c r="K113" s="373"/>
      <c r="L113" s="535" t="s">
        <v>637</v>
      </c>
      <c r="M113" s="536"/>
      <c r="N113" s="537"/>
      <c r="O113" s="378">
        <v>-182.5600000000004</v>
      </c>
      <c r="P113" s="381">
        <v>-273.84000000000015</v>
      </c>
      <c r="Q113" s="513">
        <v>-365.11999999999989</v>
      </c>
      <c r="R113" s="514"/>
      <c r="S113" s="368">
        <v>-456.39999999999964</v>
      </c>
      <c r="T113" s="403">
        <f>T112-L112</f>
        <v>-547.67999999999984</v>
      </c>
    </row>
    <row r="114" spans="1:20" ht="15" thickBot="1">
      <c r="A114" s="394" t="s">
        <v>989</v>
      </c>
      <c r="B114" s="395">
        <f>-183*2130</f>
        <v>-389790</v>
      </c>
      <c r="C114" s="399"/>
      <c r="G114" s="204" t="s">
        <v>632</v>
      </c>
      <c r="H114" s="205"/>
      <c r="I114" s="205"/>
      <c r="J114" s="371">
        <v>50000</v>
      </c>
      <c r="K114" s="373"/>
      <c r="L114" s="375" t="s">
        <v>991</v>
      </c>
      <c r="M114" s="386"/>
      <c r="N114" s="387"/>
      <c r="O114" s="388">
        <v>-389790</v>
      </c>
      <c r="P114" s="389">
        <v>-583279.2000000003</v>
      </c>
      <c r="Q114" s="531">
        <v>-777705.59999999974</v>
      </c>
      <c r="R114" s="532"/>
      <c r="S114" s="391">
        <v>-972131.99999999919</v>
      </c>
      <c r="T114" s="404">
        <f>T113*2130</f>
        <v>-1166558.3999999997</v>
      </c>
    </row>
    <row r="115" spans="1:20">
      <c r="A115" s="363" t="s">
        <v>631</v>
      </c>
      <c r="B115" s="364">
        <v>121362</v>
      </c>
      <c r="C115" s="365"/>
      <c r="G115" s="204" t="s">
        <v>633</v>
      </c>
      <c r="H115" s="205"/>
      <c r="I115" s="205"/>
      <c r="J115" s="371">
        <v>52298</v>
      </c>
      <c r="K115" s="373"/>
    </row>
    <row r="116" spans="1:20">
      <c r="A116" s="363" t="s">
        <v>993</v>
      </c>
      <c r="B116" s="364">
        <f>94979*2</f>
        <v>189958</v>
      </c>
      <c r="C116" s="365"/>
      <c r="D116" s="72"/>
      <c r="G116" s="204" t="s">
        <v>634</v>
      </c>
      <c r="H116" s="205"/>
      <c r="I116" s="205"/>
      <c r="J116" s="371">
        <v>140885</v>
      </c>
      <c r="K116" s="373"/>
      <c r="O116" s="405"/>
    </row>
    <row r="117" spans="1:20" ht="15" thickBot="1">
      <c r="A117" s="363" t="s">
        <v>1038</v>
      </c>
      <c r="B117" s="364">
        <f>94979+97213</f>
        <v>192192</v>
      </c>
      <c r="C117" s="365"/>
      <c r="G117" s="206" t="s">
        <v>635</v>
      </c>
      <c r="H117" s="207"/>
      <c r="I117" s="207"/>
      <c r="J117" s="372">
        <f>SUM(J111:J116)</f>
        <v>485300</v>
      </c>
      <c r="K117" s="374"/>
    </row>
    <row r="118" spans="1:20" ht="15" customHeight="1">
      <c r="A118" s="363" t="s">
        <v>1038</v>
      </c>
      <c r="B118" s="364">
        <f>-(B113+B115+B116+B117+Q114)</f>
        <v>195723.59999999974</v>
      </c>
      <c r="C118" s="365"/>
    </row>
    <row r="119" spans="1:20">
      <c r="A119" s="363" t="s">
        <v>1038</v>
      </c>
      <c r="B119" s="364">
        <f>-(B113+B115+B116+B117+B118+S114)</f>
        <v>194426.39999999944</v>
      </c>
      <c r="C119" s="392"/>
    </row>
    <row r="120" spans="1:20" ht="15" thickBot="1">
      <c r="A120" s="400" t="s">
        <v>995</v>
      </c>
      <c r="B120" s="199">
        <f>-(B113+B115+B116+B117+B118+B119+T114)</f>
        <v>194426.40000000049</v>
      </c>
      <c r="C120" s="200"/>
    </row>
    <row r="121" spans="1:20">
      <c r="B121" s="118"/>
    </row>
  </sheetData>
  <mergeCells count="21">
    <mergeCell ref="Q114:R114"/>
    <mergeCell ref="Q111:R111"/>
    <mergeCell ref="L113:N113"/>
    <mergeCell ref="L112:N112"/>
    <mergeCell ref="L111:N111"/>
    <mergeCell ref="A1:H1"/>
    <mergeCell ref="A2:H2"/>
    <mergeCell ref="O84:T84"/>
    <mergeCell ref="Q112:R112"/>
    <mergeCell ref="Q113:R113"/>
    <mergeCell ref="L110:N110"/>
    <mergeCell ref="Q76:R76"/>
    <mergeCell ref="Q77:R77"/>
    <mergeCell ref="Q78:R78"/>
    <mergeCell ref="Q79:R79"/>
    <mergeCell ref="Q80:R80"/>
    <mergeCell ref="Q81:R81"/>
    <mergeCell ref="Q75:R75"/>
    <mergeCell ref="T76:T80"/>
    <mergeCell ref="O75:P75"/>
    <mergeCell ref="A108:C108"/>
  </mergeCells>
  <pageMargins left="1" right="0.45" top="0.5" bottom="0.5" header="0.3" footer="0.3"/>
  <pageSetup paperSize="5" scale="65" fitToHeight="0" orientation="landscape" r:id="rId1"/>
  <headerFooter differentFirst="1">
    <oddFooter>&amp;CPage 2 of 54</oddFooter>
  </headerFooter>
  <rowBreaks count="1" manualBreakCount="1">
    <brk id="7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8"/>
  <sheetViews>
    <sheetView zoomScale="80" zoomScaleNormal="80" workbookViewId="0">
      <selection activeCell="A4" sqref="A4"/>
    </sheetView>
  </sheetViews>
  <sheetFormatPr defaultRowHeight="14.5"/>
  <cols>
    <col min="1" max="1" width="11.1796875" style="35" customWidth="1"/>
    <col min="2" max="2" width="14.453125" style="2" customWidth="1"/>
    <col min="3" max="3" width="9.1796875" customWidth="1"/>
    <col min="4" max="4" width="18.54296875" style="2" customWidth="1"/>
    <col min="5" max="5" width="18.1796875" style="2" customWidth="1"/>
    <col min="6" max="6" width="7.453125" style="226" hidden="1" customWidth="1"/>
    <col min="7" max="7" width="27.1796875" style="2" customWidth="1"/>
    <col min="8" max="8" width="79.81640625" style="2" customWidth="1"/>
    <col min="9" max="9" width="14.81640625" style="2" hidden="1" customWidth="1"/>
    <col min="10" max="10" width="16.81640625" style="2" hidden="1" customWidth="1"/>
    <col min="11" max="11" width="9.7265625" style="36" hidden="1" customWidth="1"/>
    <col min="12" max="12" width="11" style="36" hidden="1" customWidth="1"/>
    <col min="13" max="13" width="14.54296875" style="2" hidden="1" customWidth="1"/>
    <col min="14" max="14" width="13.453125" customWidth="1"/>
    <col min="15" max="15" width="12.1796875" customWidth="1"/>
    <col min="16" max="16" width="16.54296875" style="20" customWidth="1"/>
    <col min="17" max="17" width="12.1796875" customWidth="1"/>
    <col min="18" max="18" width="16.54296875" style="20" customWidth="1"/>
    <col min="20" max="20" width="9.54296875" bestFit="1" customWidth="1"/>
  </cols>
  <sheetData>
    <row r="1" spans="1:18" ht="31.5" customHeight="1" thickBot="1">
      <c r="A1" s="1" t="s">
        <v>655</v>
      </c>
    </row>
    <row r="2" spans="1:18" s="7" customFormat="1" ht="43.5">
      <c r="A2" s="3" t="s">
        <v>1</v>
      </c>
      <c r="B2" s="4" t="s">
        <v>2</v>
      </c>
      <c r="C2" s="5" t="s">
        <v>3</v>
      </c>
      <c r="D2" s="4" t="s">
        <v>4</v>
      </c>
      <c r="E2" s="4" t="s">
        <v>5</v>
      </c>
      <c r="F2" s="6" t="s">
        <v>6</v>
      </c>
      <c r="G2" s="4" t="s">
        <v>7</v>
      </c>
      <c r="H2" s="4" t="s">
        <v>8</v>
      </c>
      <c r="I2" s="4" t="s">
        <v>9</v>
      </c>
      <c r="J2" s="4" t="s">
        <v>10</v>
      </c>
      <c r="K2" s="6" t="s">
        <v>11</v>
      </c>
      <c r="L2" s="6" t="s">
        <v>12</v>
      </c>
      <c r="M2" s="4" t="s">
        <v>13</v>
      </c>
      <c r="N2" s="6" t="s">
        <v>14</v>
      </c>
      <c r="O2" s="39" t="s">
        <v>1009</v>
      </c>
      <c r="P2" s="415" t="s">
        <v>105</v>
      </c>
      <c r="Q2" s="413" t="s">
        <v>1010</v>
      </c>
      <c r="R2" s="414" t="s">
        <v>105</v>
      </c>
    </row>
    <row r="3" spans="1:18" s="7" customFormat="1" ht="32.5" customHeight="1">
      <c r="A3" s="8" t="s">
        <v>149</v>
      </c>
      <c r="B3" s="66"/>
      <c r="C3" s="67"/>
      <c r="D3" s="66"/>
      <c r="E3" s="66"/>
      <c r="F3" s="68"/>
      <c r="G3" s="66"/>
      <c r="H3" s="66"/>
      <c r="I3" s="66"/>
      <c r="J3" s="66"/>
      <c r="K3" s="68"/>
      <c r="L3" s="68"/>
      <c r="M3" s="66"/>
      <c r="N3" s="66"/>
      <c r="O3" s="69"/>
      <c r="P3" s="70"/>
      <c r="Q3" s="69"/>
      <c r="R3" s="70"/>
    </row>
    <row r="4" spans="1:18" ht="107.15" customHeight="1">
      <c r="A4" s="21" t="s">
        <v>150</v>
      </c>
      <c r="B4" s="14" t="s">
        <v>151</v>
      </c>
      <c r="C4" s="13">
        <v>55400</v>
      </c>
      <c r="D4" s="14" t="s">
        <v>152</v>
      </c>
      <c r="E4" s="14" t="s">
        <v>153</v>
      </c>
      <c r="F4" s="57" t="s">
        <v>154</v>
      </c>
      <c r="G4" s="14" t="s">
        <v>155</v>
      </c>
      <c r="H4" s="14" t="s">
        <v>156</v>
      </c>
      <c r="I4" s="14" t="s">
        <v>63</v>
      </c>
      <c r="J4" s="14" t="s">
        <v>158</v>
      </c>
      <c r="K4" s="71" t="s">
        <v>33</v>
      </c>
      <c r="L4" s="71" t="s">
        <v>33</v>
      </c>
      <c r="M4" s="14" t="s">
        <v>65</v>
      </c>
      <c r="N4" s="15">
        <v>1683</v>
      </c>
      <c r="O4" s="16">
        <v>1683</v>
      </c>
      <c r="P4" s="19" t="s">
        <v>137</v>
      </c>
      <c r="Q4" s="407">
        <f>O4</f>
        <v>1683</v>
      </c>
      <c r="R4" s="408" t="str">
        <f>P4</f>
        <v>College Commitment &amp; Obligations</v>
      </c>
    </row>
    <row r="5" spans="1:18" ht="87">
      <c r="A5" s="21" t="s">
        <v>159</v>
      </c>
      <c r="B5" s="14" t="s">
        <v>160</v>
      </c>
      <c r="C5" s="13">
        <v>53210</v>
      </c>
      <c r="D5" s="14" t="s">
        <v>161</v>
      </c>
      <c r="E5" s="14" t="s">
        <v>162</v>
      </c>
      <c r="F5" s="57" t="s">
        <v>154</v>
      </c>
      <c r="G5" s="14" t="s">
        <v>163</v>
      </c>
      <c r="H5" s="14" t="s">
        <v>164</v>
      </c>
      <c r="I5" s="14" t="s">
        <v>63</v>
      </c>
      <c r="J5" s="14" t="s">
        <v>158</v>
      </c>
      <c r="K5" s="71" t="s">
        <v>32</v>
      </c>
      <c r="L5" s="71" t="s">
        <v>32</v>
      </c>
      <c r="M5" s="14" t="s">
        <v>45</v>
      </c>
      <c r="N5" s="15">
        <v>20000</v>
      </c>
      <c r="O5" s="16">
        <v>20000</v>
      </c>
      <c r="P5" s="19" t="s">
        <v>137</v>
      </c>
      <c r="Q5" s="407">
        <f t="shared" ref="Q5:Q7" si="0">O5</f>
        <v>20000</v>
      </c>
      <c r="R5" s="408" t="str">
        <f t="shared" ref="R5:R7" si="1">P5</f>
        <v>College Commitment &amp; Obligations</v>
      </c>
    </row>
    <row r="6" spans="1:18" ht="87">
      <c r="A6" s="21" t="s">
        <v>165</v>
      </c>
      <c r="B6" s="14" t="s">
        <v>166</v>
      </c>
      <c r="C6" s="13">
        <v>53210</v>
      </c>
      <c r="D6" s="14" t="s">
        <v>167</v>
      </c>
      <c r="E6" s="14" t="s">
        <v>168</v>
      </c>
      <c r="F6" s="57" t="s">
        <v>154</v>
      </c>
      <c r="G6" s="14" t="s">
        <v>169</v>
      </c>
      <c r="H6" s="14" t="s">
        <v>169</v>
      </c>
      <c r="I6" s="14" t="s">
        <v>63</v>
      </c>
      <c r="J6" s="14" t="s">
        <v>158</v>
      </c>
      <c r="K6" s="71" t="s">
        <v>33</v>
      </c>
      <c r="L6" s="71" t="s">
        <v>32</v>
      </c>
      <c r="M6" s="14" t="s">
        <v>65</v>
      </c>
      <c r="N6" s="15">
        <v>1600</v>
      </c>
      <c r="O6" s="16">
        <v>1600</v>
      </c>
      <c r="P6" s="19" t="s">
        <v>170</v>
      </c>
      <c r="Q6" s="407">
        <f t="shared" si="0"/>
        <v>1600</v>
      </c>
      <c r="R6" s="408" t="str">
        <f t="shared" si="1"/>
        <v>College Commitment &amp; Obligations; Not required, no new programs starting</v>
      </c>
    </row>
    <row r="7" spans="1:18" ht="107.5" customHeight="1">
      <c r="A7" s="21" t="s">
        <v>171</v>
      </c>
      <c r="B7" s="14" t="s">
        <v>166</v>
      </c>
      <c r="C7" s="13">
        <v>51114</v>
      </c>
      <c r="D7" s="14" t="s">
        <v>167</v>
      </c>
      <c r="E7" s="14" t="s">
        <v>168</v>
      </c>
      <c r="F7" s="57" t="s">
        <v>154</v>
      </c>
      <c r="G7" s="14" t="s">
        <v>172</v>
      </c>
      <c r="H7" s="14" t="s">
        <v>173</v>
      </c>
      <c r="I7" s="14" t="s">
        <v>24</v>
      </c>
      <c r="J7" s="14" t="s">
        <v>31</v>
      </c>
      <c r="K7" s="71" t="s">
        <v>32</v>
      </c>
      <c r="L7" s="71" t="s">
        <v>33</v>
      </c>
      <c r="M7" s="14" t="s">
        <v>56</v>
      </c>
      <c r="N7" s="15">
        <v>22488</v>
      </c>
      <c r="O7" s="16">
        <v>12488</v>
      </c>
      <c r="P7" s="19" t="s">
        <v>174</v>
      </c>
      <c r="Q7" s="407">
        <f t="shared" si="0"/>
        <v>12488</v>
      </c>
      <c r="R7" s="408" t="str">
        <f t="shared" si="1"/>
        <v>College Commitment &amp; Obligations - Only for the Tri Chairs</v>
      </c>
    </row>
    <row r="8" spans="1:18" ht="87">
      <c r="A8" s="21" t="s">
        <v>175</v>
      </c>
      <c r="B8" s="14" t="s">
        <v>176</v>
      </c>
      <c r="C8" s="13">
        <v>55400</v>
      </c>
      <c r="D8" s="14" t="s">
        <v>177</v>
      </c>
      <c r="E8" s="14" t="s">
        <v>178</v>
      </c>
      <c r="F8" s="57" t="s">
        <v>154</v>
      </c>
      <c r="G8" s="14" t="s">
        <v>179</v>
      </c>
      <c r="H8" s="14" t="s">
        <v>180</v>
      </c>
      <c r="I8" s="14" t="s">
        <v>63</v>
      </c>
      <c r="J8" s="14" t="s">
        <v>158</v>
      </c>
      <c r="K8" s="71" t="s">
        <v>32</v>
      </c>
      <c r="L8" s="71" t="s">
        <v>32</v>
      </c>
      <c r="M8" s="14" t="s">
        <v>65</v>
      </c>
      <c r="N8" s="15">
        <v>8000</v>
      </c>
      <c r="O8" s="16">
        <v>0</v>
      </c>
      <c r="P8" s="19" t="s">
        <v>137</v>
      </c>
      <c r="Q8" s="407"/>
      <c r="R8" s="408" t="s">
        <v>1040</v>
      </c>
    </row>
    <row r="9" spans="1:18" ht="24.75" customHeight="1">
      <c r="A9" s="21"/>
      <c r="B9" s="14"/>
      <c r="C9" s="13"/>
      <c r="D9" s="14"/>
      <c r="E9" s="14"/>
      <c r="F9" s="57"/>
      <c r="G9" s="14"/>
      <c r="H9" s="14"/>
      <c r="I9" s="14"/>
      <c r="J9" s="14"/>
      <c r="K9" s="71"/>
      <c r="L9" s="345"/>
      <c r="M9" s="73" t="s">
        <v>470</v>
      </c>
      <c r="N9" s="74">
        <f>SUM(N4:N8)</f>
        <v>53771</v>
      </c>
      <c r="O9" s="75">
        <f>SUM(O4:O8)</f>
        <v>35771</v>
      </c>
      <c r="P9" s="76"/>
      <c r="Q9" s="409">
        <f>O9</f>
        <v>35771</v>
      </c>
      <c r="R9" s="410"/>
    </row>
    <row r="10" spans="1:18" ht="290">
      <c r="A10" s="21" t="s">
        <v>181</v>
      </c>
      <c r="B10" s="14" t="s">
        <v>182</v>
      </c>
      <c r="C10" s="13">
        <v>55205</v>
      </c>
      <c r="D10" s="14" t="s">
        <v>183</v>
      </c>
      <c r="E10" s="14" t="s">
        <v>184</v>
      </c>
      <c r="F10" s="57" t="s">
        <v>154</v>
      </c>
      <c r="G10" s="14" t="s">
        <v>185</v>
      </c>
      <c r="H10" s="14" t="s">
        <v>186</v>
      </c>
      <c r="I10" s="14" t="s">
        <v>63</v>
      </c>
      <c r="J10" s="14" t="s">
        <v>158</v>
      </c>
      <c r="K10" s="71" t="s">
        <v>33</v>
      </c>
      <c r="L10" s="71" t="s">
        <v>33</v>
      </c>
      <c r="M10" s="14" t="s">
        <v>25</v>
      </c>
      <c r="N10" s="15">
        <v>40000</v>
      </c>
      <c r="O10" s="16">
        <v>40000</v>
      </c>
      <c r="P10" s="19" t="s">
        <v>870</v>
      </c>
      <c r="Q10" s="407">
        <f>O10</f>
        <v>40000</v>
      </c>
      <c r="R10" s="408"/>
    </row>
    <row r="11" spans="1:18" ht="72.5">
      <c r="A11" s="21" t="s">
        <v>187</v>
      </c>
      <c r="B11" s="14" t="s">
        <v>182</v>
      </c>
      <c r="C11" s="13">
        <v>58305</v>
      </c>
      <c r="D11" s="14" t="s">
        <v>183</v>
      </c>
      <c r="E11" s="14" t="s">
        <v>184</v>
      </c>
      <c r="F11" s="57" t="s">
        <v>154</v>
      </c>
      <c r="G11" s="14" t="s">
        <v>188</v>
      </c>
      <c r="H11" s="14" t="s">
        <v>189</v>
      </c>
      <c r="I11" s="14" t="s">
        <v>63</v>
      </c>
      <c r="J11" s="14" t="s">
        <v>190</v>
      </c>
      <c r="K11" s="71" t="s">
        <v>32</v>
      </c>
      <c r="L11" s="71" t="s">
        <v>32</v>
      </c>
      <c r="M11" s="14" t="s">
        <v>191</v>
      </c>
      <c r="N11" s="15">
        <v>1000</v>
      </c>
      <c r="O11" s="16"/>
      <c r="P11" s="19" t="s">
        <v>878</v>
      </c>
      <c r="Q11" s="407">
        <f t="shared" ref="Q11:Q74" si="2">O11</f>
        <v>0</v>
      </c>
      <c r="R11" s="408"/>
    </row>
    <row r="12" spans="1:18" ht="103.5" customHeight="1">
      <c r="A12" s="21" t="s">
        <v>192</v>
      </c>
      <c r="B12" s="14" t="s">
        <v>193</v>
      </c>
      <c r="C12" s="13">
        <v>54110</v>
      </c>
      <c r="D12" s="14" t="s">
        <v>194</v>
      </c>
      <c r="E12" s="14" t="s">
        <v>195</v>
      </c>
      <c r="F12" s="57" t="s">
        <v>154</v>
      </c>
      <c r="G12" s="14" t="s">
        <v>196</v>
      </c>
      <c r="H12" s="14" t="s">
        <v>197</v>
      </c>
      <c r="I12" s="14" t="s">
        <v>63</v>
      </c>
      <c r="J12" s="14" t="s">
        <v>31</v>
      </c>
      <c r="K12" s="71" t="s">
        <v>33</v>
      </c>
      <c r="L12" s="71" t="s">
        <v>33</v>
      </c>
      <c r="M12" s="14" t="s">
        <v>45</v>
      </c>
      <c r="N12" s="15">
        <v>3000</v>
      </c>
      <c r="O12" s="16">
        <v>3000</v>
      </c>
      <c r="P12" s="19" t="s">
        <v>872</v>
      </c>
      <c r="Q12" s="407">
        <f t="shared" si="2"/>
        <v>3000</v>
      </c>
      <c r="R12" s="408"/>
    </row>
    <row r="13" spans="1:18" ht="108.65" customHeight="1">
      <c r="A13" s="21" t="s">
        <v>198</v>
      </c>
      <c r="B13" s="14" t="s">
        <v>199</v>
      </c>
      <c r="C13" s="13">
        <v>54100</v>
      </c>
      <c r="D13" s="14" t="s">
        <v>200</v>
      </c>
      <c r="E13" s="14" t="s">
        <v>201</v>
      </c>
      <c r="F13" s="57" t="s">
        <v>154</v>
      </c>
      <c r="G13" s="14" t="s">
        <v>202</v>
      </c>
      <c r="H13" s="14" t="s">
        <v>203</v>
      </c>
      <c r="I13" s="14" t="s">
        <v>63</v>
      </c>
      <c r="J13" s="14" t="s">
        <v>31</v>
      </c>
      <c r="K13" s="71" t="s">
        <v>32</v>
      </c>
      <c r="L13" s="71" t="s">
        <v>33</v>
      </c>
      <c r="M13" s="14" t="s">
        <v>53</v>
      </c>
      <c r="N13" s="15">
        <v>2500</v>
      </c>
      <c r="O13" s="16"/>
      <c r="P13" s="19"/>
      <c r="Q13" s="407">
        <f t="shared" si="2"/>
        <v>0</v>
      </c>
      <c r="R13" s="408"/>
    </row>
    <row r="14" spans="1:18" ht="177" customHeight="1">
      <c r="A14" s="21" t="s">
        <v>204</v>
      </c>
      <c r="B14" s="14" t="s">
        <v>199</v>
      </c>
      <c r="C14" s="13">
        <v>53550</v>
      </c>
      <c r="D14" s="14" t="s">
        <v>200</v>
      </c>
      <c r="E14" s="14" t="s">
        <v>201</v>
      </c>
      <c r="F14" s="57" t="s">
        <v>154</v>
      </c>
      <c r="G14" s="14" t="s">
        <v>205</v>
      </c>
      <c r="H14" s="14" t="s">
        <v>206</v>
      </c>
      <c r="I14" s="14" t="s">
        <v>63</v>
      </c>
      <c r="J14" s="14" t="s">
        <v>31</v>
      </c>
      <c r="K14" s="71" t="s">
        <v>32</v>
      </c>
      <c r="L14" s="71" t="s">
        <v>33</v>
      </c>
      <c r="M14" s="14" t="s">
        <v>53</v>
      </c>
      <c r="N14" s="15">
        <v>800</v>
      </c>
      <c r="O14" s="16">
        <v>800</v>
      </c>
      <c r="P14" s="19" t="s">
        <v>872</v>
      </c>
      <c r="Q14" s="407">
        <f t="shared" si="2"/>
        <v>800</v>
      </c>
      <c r="R14" s="408"/>
    </row>
    <row r="15" spans="1:18" ht="134.5" customHeight="1">
      <c r="A15" s="21" t="s">
        <v>207</v>
      </c>
      <c r="B15" s="14" t="s">
        <v>208</v>
      </c>
      <c r="C15" s="13">
        <v>54100</v>
      </c>
      <c r="D15" s="14" t="s">
        <v>209</v>
      </c>
      <c r="E15" s="14" t="s">
        <v>210</v>
      </c>
      <c r="F15" s="57" t="s">
        <v>154</v>
      </c>
      <c r="G15" s="14" t="s">
        <v>211</v>
      </c>
      <c r="H15" s="14" t="s">
        <v>212</v>
      </c>
      <c r="I15" s="14" t="s">
        <v>63</v>
      </c>
      <c r="J15" s="14" t="s">
        <v>31</v>
      </c>
      <c r="K15" s="71" t="s">
        <v>32</v>
      </c>
      <c r="L15" s="71" t="s">
        <v>33</v>
      </c>
      <c r="M15" s="14" t="s">
        <v>25</v>
      </c>
      <c r="N15" s="15">
        <v>20000</v>
      </c>
      <c r="O15" s="16">
        <v>20000</v>
      </c>
      <c r="P15" s="19" t="s">
        <v>872</v>
      </c>
      <c r="Q15" s="407">
        <f t="shared" si="2"/>
        <v>20000</v>
      </c>
      <c r="R15" s="408"/>
    </row>
    <row r="16" spans="1:18" ht="87">
      <c r="A16" s="21" t="s">
        <v>165</v>
      </c>
      <c r="B16" s="14" t="s">
        <v>166</v>
      </c>
      <c r="C16" s="13">
        <v>53210</v>
      </c>
      <c r="D16" s="14" t="s">
        <v>167</v>
      </c>
      <c r="E16" s="14" t="s">
        <v>168</v>
      </c>
      <c r="F16" s="57" t="s">
        <v>154</v>
      </c>
      <c r="G16" s="14" t="s">
        <v>169</v>
      </c>
      <c r="H16" s="14" t="s">
        <v>169</v>
      </c>
      <c r="I16" s="14" t="s">
        <v>63</v>
      </c>
      <c r="J16" s="14" t="s">
        <v>158</v>
      </c>
      <c r="K16" s="71" t="s">
        <v>33</v>
      </c>
      <c r="L16" s="71" t="s">
        <v>32</v>
      </c>
      <c r="M16" s="14" t="s">
        <v>65</v>
      </c>
      <c r="N16" s="15">
        <v>1600</v>
      </c>
      <c r="O16" s="16"/>
      <c r="P16" s="19"/>
      <c r="Q16" s="407">
        <f t="shared" si="2"/>
        <v>0</v>
      </c>
      <c r="R16" s="408"/>
    </row>
    <row r="17" spans="1:18" ht="181.5" customHeight="1">
      <c r="A17" s="21" t="s">
        <v>213</v>
      </c>
      <c r="B17" s="14" t="s">
        <v>214</v>
      </c>
      <c r="C17" s="13">
        <v>54100</v>
      </c>
      <c r="D17" s="14" t="s">
        <v>215</v>
      </c>
      <c r="E17" s="14" t="s">
        <v>216</v>
      </c>
      <c r="F17" s="57" t="s">
        <v>154</v>
      </c>
      <c r="G17" s="14" t="s">
        <v>217</v>
      </c>
      <c r="H17" s="14" t="s">
        <v>218</v>
      </c>
      <c r="I17" s="14" t="s">
        <v>63</v>
      </c>
      <c r="J17" s="14" t="s">
        <v>31</v>
      </c>
      <c r="K17" s="71" t="s">
        <v>219</v>
      </c>
      <c r="L17" s="71" t="s">
        <v>32</v>
      </c>
      <c r="M17" s="14" t="s">
        <v>220</v>
      </c>
      <c r="N17" s="15">
        <v>1325</v>
      </c>
      <c r="O17" s="16"/>
      <c r="P17" s="19"/>
      <c r="Q17" s="407">
        <f t="shared" si="2"/>
        <v>0</v>
      </c>
      <c r="R17" s="408"/>
    </row>
    <row r="18" spans="1:18" ht="110.5" customHeight="1">
      <c r="A18" s="21" t="s">
        <v>221</v>
      </c>
      <c r="B18" s="14" t="s">
        <v>214</v>
      </c>
      <c r="C18" s="13">
        <v>53550</v>
      </c>
      <c r="D18" s="14" t="s">
        <v>215</v>
      </c>
      <c r="E18" s="14" t="s">
        <v>216</v>
      </c>
      <c r="F18" s="57" t="s">
        <v>154</v>
      </c>
      <c r="G18" s="14" t="s">
        <v>222</v>
      </c>
      <c r="H18" s="14" t="s">
        <v>223</v>
      </c>
      <c r="I18" s="14" t="s">
        <v>63</v>
      </c>
      <c r="J18" s="14" t="s">
        <v>31</v>
      </c>
      <c r="K18" s="71" t="s">
        <v>32</v>
      </c>
      <c r="L18" s="71" t="s">
        <v>32</v>
      </c>
      <c r="M18" s="14" t="s">
        <v>220</v>
      </c>
      <c r="N18" s="15">
        <v>600</v>
      </c>
      <c r="O18" s="16"/>
      <c r="P18" s="19"/>
      <c r="Q18" s="407">
        <f t="shared" si="2"/>
        <v>0</v>
      </c>
      <c r="R18" s="408"/>
    </row>
    <row r="19" spans="1:18" ht="87">
      <c r="A19" s="21" t="s">
        <v>224</v>
      </c>
      <c r="B19" s="14" t="s">
        <v>176</v>
      </c>
      <c r="C19" s="13">
        <v>54100</v>
      </c>
      <c r="D19" s="14" t="s">
        <v>177</v>
      </c>
      <c r="E19" s="14" t="s">
        <v>178</v>
      </c>
      <c r="F19" s="57" t="s">
        <v>154</v>
      </c>
      <c r="G19" s="14" t="s">
        <v>225</v>
      </c>
      <c r="H19" s="14" t="s">
        <v>226</v>
      </c>
      <c r="I19" s="14" t="s">
        <v>63</v>
      </c>
      <c r="J19" s="14" t="s">
        <v>158</v>
      </c>
      <c r="K19" s="71" t="s">
        <v>32</v>
      </c>
      <c r="L19" s="71" t="s">
        <v>32</v>
      </c>
      <c r="M19" s="14" t="s">
        <v>64</v>
      </c>
      <c r="N19" s="15">
        <v>1000</v>
      </c>
      <c r="O19" s="16"/>
      <c r="P19" s="19"/>
      <c r="Q19" s="407">
        <f t="shared" si="2"/>
        <v>0</v>
      </c>
      <c r="R19" s="408"/>
    </row>
    <row r="20" spans="1:18" ht="130.5">
      <c r="A20" s="21" t="s">
        <v>227</v>
      </c>
      <c r="B20" s="14" t="s">
        <v>176</v>
      </c>
      <c r="C20" s="13">
        <v>54100</v>
      </c>
      <c r="D20" s="14" t="s">
        <v>177</v>
      </c>
      <c r="E20" s="14" t="s">
        <v>178</v>
      </c>
      <c r="F20" s="57" t="s">
        <v>154</v>
      </c>
      <c r="G20" s="14" t="s">
        <v>228</v>
      </c>
      <c r="H20" s="14" t="s">
        <v>229</v>
      </c>
      <c r="I20" s="14" t="s">
        <v>63</v>
      </c>
      <c r="J20" s="14" t="s">
        <v>31</v>
      </c>
      <c r="K20" s="71" t="s">
        <v>32</v>
      </c>
      <c r="L20" s="71" t="s">
        <v>33</v>
      </c>
      <c r="M20" s="14" t="s">
        <v>64</v>
      </c>
      <c r="N20" s="15">
        <v>13000</v>
      </c>
      <c r="O20" s="16"/>
      <c r="P20" s="19"/>
      <c r="Q20" s="407">
        <f t="shared" si="2"/>
        <v>0</v>
      </c>
      <c r="R20" s="408"/>
    </row>
    <row r="21" spans="1:18" ht="87">
      <c r="A21" s="21" t="s">
        <v>230</v>
      </c>
      <c r="B21" s="14" t="s">
        <v>176</v>
      </c>
      <c r="C21" s="13">
        <v>53210</v>
      </c>
      <c r="D21" s="14" t="s">
        <v>177</v>
      </c>
      <c r="E21" s="14" t="s">
        <v>178</v>
      </c>
      <c r="F21" s="57" t="s">
        <v>154</v>
      </c>
      <c r="G21" s="14" t="s">
        <v>231</v>
      </c>
      <c r="H21" s="14" t="s">
        <v>232</v>
      </c>
      <c r="I21" s="14" t="s">
        <v>63</v>
      </c>
      <c r="J21" s="14" t="s">
        <v>158</v>
      </c>
      <c r="K21" s="71" t="s">
        <v>32</v>
      </c>
      <c r="L21" s="71" t="s">
        <v>33</v>
      </c>
      <c r="M21" s="14" t="s">
        <v>233</v>
      </c>
      <c r="N21" s="15">
        <v>1225</v>
      </c>
      <c r="O21" s="16"/>
      <c r="P21" s="19"/>
      <c r="Q21" s="407">
        <f t="shared" si="2"/>
        <v>0</v>
      </c>
      <c r="R21" s="408"/>
    </row>
    <row r="22" spans="1:18" ht="112.5" customHeight="1">
      <c r="A22" s="21" t="s">
        <v>234</v>
      </c>
      <c r="B22" s="14" t="s">
        <v>176</v>
      </c>
      <c r="C22" s="13">
        <v>54110</v>
      </c>
      <c r="D22" s="14" t="s">
        <v>235</v>
      </c>
      <c r="E22" s="14" t="s">
        <v>236</v>
      </c>
      <c r="F22" s="57" t="s">
        <v>154</v>
      </c>
      <c r="G22" s="14" t="s">
        <v>237</v>
      </c>
      <c r="H22" s="14" t="s">
        <v>238</v>
      </c>
      <c r="I22" s="14" t="s">
        <v>63</v>
      </c>
      <c r="J22" s="14" t="s">
        <v>31</v>
      </c>
      <c r="K22" s="71" t="s">
        <v>32</v>
      </c>
      <c r="L22" s="71" t="s">
        <v>33</v>
      </c>
      <c r="M22" s="14" t="s">
        <v>233</v>
      </c>
      <c r="N22" s="15">
        <v>32000</v>
      </c>
      <c r="O22" s="16"/>
      <c r="P22" s="19"/>
      <c r="Q22" s="407">
        <f t="shared" si="2"/>
        <v>0</v>
      </c>
      <c r="R22" s="408"/>
    </row>
    <row r="23" spans="1:18" ht="119.15" customHeight="1">
      <c r="A23" s="21" t="s">
        <v>239</v>
      </c>
      <c r="B23" s="14" t="s">
        <v>240</v>
      </c>
      <c r="C23" s="13">
        <v>53310</v>
      </c>
      <c r="D23" s="14" t="s">
        <v>241</v>
      </c>
      <c r="E23" s="14" t="s">
        <v>242</v>
      </c>
      <c r="F23" s="57" t="s">
        <v>154</v>
      </c>
      <c r="G23" s="14" t="s">
        <v>243</v>
      </c>
      <c r="H23" s="14" t="s">
        <v>244</v>
      </c>
      <c r="I23" s="14" t="s">
        <v>63</v>
      </c>
      <c r="J23" s="14" t="s">
        <v>31</v>
      </c>
      <c r="K23" s="71" t="s">
        <v>32</v>
      </c>
      <c r="L23" s="71" t="s">
        <v>33</v>
      </c>
      <c r="M23" s="14" t="s">
        <v>245</v>
      </c>
      <c r="N23" s="15">
        <v>250</v>
      </c>
      <c r="O23" s="16"/>
      <c r="P23" s="19" t="s">
        <v>881</v>
      </c>
      <c r="Q23" s="407">
        <f t="shared" si="2"/>
        <v>0</v>
      </c>
      <c r="R23" s="408"/>
    </row>
    <row r="24" spans="1:18" ht="106" customHeight="1">
      <c r="A24" s="21" t="s">
        <v>246</v>
      </c>
      <c r="B24" s="14" t="s">
        <v>247</v>
      </c>
      <c r="C24" s="13">
        <v>53920</v>
      </c>
      <c r="D24" s="14" t="s">
        <v>248</v>
      </c>
      <c r="E24" s="14" t="s">
        <v>249</v>
      </c>
      <c r="F24" s="57" t="s">
        <v>154</v>
      </c>
      <c r="G24" s="14" t="s">
        <v>250</v>
      </c>
      <c r="H24" s="14" t="s">
        <v>251</v>
      </c>
      <c r="I24" s="14" t="s">
        <v>63</v>
      </c>
      <c r="J24" s="14" t="s">
        <v>31</v>
      </c>
      <c r="K24" s="71" t="s">
        <v>33</v>
      </c>
      <c r="L24" s="71" t="s">
        <v>33</v>
      </c>
      <c r="M24" s="14" t="s">
        <v>25</v>
      </c>
      <c r="N24" s="15">
        <v>200</v>
      </c>
      <c r="O24" s="16"/>
      <c r="P24" s="19"/>
      <c r="Q24" s="407">
        <f t="shared" si="2"/>
        <v>0</v>
      </c>
      <c r="R24" s="408"/>
    </row>
    <row r="25" spans="1:18" ht="107.15" customHeight="1">
      <c r="A25" s="21" t="s">
        <v>252</v>
      </c>
      <c r="B25" s="14" t="s">
        <v>247</v>
      </c>
      <c r="C25" s="13">
        <v>54110</v>
      </c>
      <c r="D25" s="14" t="s">
        <v>248</v>
      </c>
      <c r="E25" s="14" t="s">
        <v>249</v>
      </c>
      <c r="F25" s="57" t="s">
        <v>154</v>
      </c>
      <c r="G25" s="14" t="s">
        <v>253</v>
      </c>
      <c r="H25" s="14" t="s">
        <v>254</v>
      </c>
      <c r="I25" s="14" t="s">
        <v>63</v>
      </c>
      <c r="J25" s="14" t="s">
        <v>31</v>
      </c>
      <c r="K25" s="71" t="s">
        <v>33</v>
      </c>
      <c r="L25" s="71" t="s">
        <v>33</v>
      </c>
      <c r="M25" s="14" t="s">
        <v>25</v>
      </c>
      <c r="N25" s="15">
        <v>1000</v>
      </c>
      <c r="O25" s="16"/>
      <c r="P25" s="19"/>
      <c r="Q25" s="407">
        <f t="shared" si="2"/>
        <v>0</v>
      </c>
      <c r="R25" s="408"/>
    </row>
    <row r="26" spans="1:18" ht="186" customHeight="1">
      <c r="A26" s="21" t="s">
        <v>255</v>
      </c>
      <c r="B26" s="14" t="s">
        <v>256</v>
      </c>
      <c r="C26" s="13">
        <v>54100</v>
      </c>
      <c r="D26" s="14" t="s">
        <v>257</v>
      </c>
      <c r="E26" s="14" t="s">
        <v>258</v>
      </c>
      <c r="F26" s="57" t="s">
        <v>154</v>
      </c>
      <c r="G26" s="14" t="s">
        <v>259</v>
      </c>
      <c r="H26" s="14" t="s">
        <v>260</v>
      </c>
      <c r="I26" s="14" t="s">
        <v>63</v>
      </c>
      <c r="J26" s="14" t="s">
        <v>158</v>
      </c>
      <c r="K26" s="71" t="s">
        <v>32</v>
      </c>
      <c r="L26" s="71" t="s">
        <v>32</v>
      </c>
      <c r="M26" s="14" t="s">
        <v>25</v>
      </c>
      <c r="N26" s="15">
        <v>6160</v>
      </c>
      <c r="O26" s="16"/>
      <c r="P26" s="19"/>
      <c r="Q26" s="407">
        <f t="shared" si="2"/>
        <v>0</v>
      </c>
      <c r="R26" s="408"/>
    </row>
    <row r="27" spans="1:18" ht="153.65" customHeight="1">
      <c r="A27" s="21" t="s">
        <v>261</v>
      </c>
      <c r="B27" s="14" t="s">
        <v>256</v>
      </c>
      <c r="C27" s="13">
        <v>54100</v>
      </c>
      <c r="D27" s="14" t="s">
        <v>257</v>
      </c>
      <c r="E27" s="14" t="s">
        <v>258</v>
      </c>
      <c r="F27" s="57" t="s">
        <v>154</v>
      </c>
      <c r="G27" s="14" t="s">
        <v>259</v>
      </c>
      <c r="H27" s="14" t="s">
        <v>262</v>
      </c>
      <c r="I27" s="14" t="s">
        <v>63</v>
      </c>
      <c r="J27" s="14" t="s">
        <v>158</v>
      </c>
      <c r="K27" s="71" t="s">
        <v>32</v>
      </c>
      <c r="L27" s="71" t="s">
        <v>32</v>
      </c>
      <c r="M27" s="14" t="s">
        <v>25</v>
      </c>
      <c r="N27" s="15">
        <v>2500</v>
      </c>
      <c r="O27" s="16"/>
      <c r="P27" s="19"/>
      <c r="Q27" s="407">
        <f t="shared" si="2"/>
        <v>0</v>
      </c>
      <c r="R27" s="408"/>
    </row>
    <row r="28" spans="1:18" ht="232">
      <c r="A28" s="21" t="s">
        <v>263</v>
      </c>
      <c r="B28" s="14" t="s">
        <v>256</v>
      </c>
      <c r="C28" s="13">
        <v>53210</v>
      </c>
      <c r="D28" s="14" t="s">
        <v>257</v>
      </c>
      <c r="E28" s="14" t="s">
        <v>258</v>
      </c>
      <c r="F28" s="57" t="s">
        <v>154</v>
      </c>
      <c r="G28" s="14" t="s">
        <v>264</v>
      </c>
      <c r="H28" s="14" t="s">
        <v>265</v>
      </c>
      <c r="I28" s="14" t="s">
        <v>63</v>
      </c>
      <c r="J28" s="14" t="s">
        <v>158</v>
      </c>
      <c r="K28" s="71" t="s">
        <v>32</v>
      </c>
      <c r="L28" s="71" t="s">
        <v>32</v>
      </c>
      <c r="M28" s="14" t="s">
        <v>25</v>
      </c>
      <c r="N28" s="15">
        <v>2500</v>
      </c>
      <c r="O28" s="16"/>
      <c r="P28" s="19"/>
      <c r="Q28" s="407">
        <f t="shared" si="2"/>
        <v>0</v>
      </c>
      <c r="R28" s="408"/>
    </row>
    <row r="29" spans="1:18" ht="109" customHeight="1">
      <c r="A29" s="21" t="s">
        <v>266</v>
      </c>
      <c r="B29" s="14" t="s">
        <v>267</v>
      </c>
      <c r="C29" s="13">
        <v>59130</v>
      </c>
      <c r="D29" s="14" t="s">
        <v>268</v>
      </c>
      <c r="E29" s="14" t="s">
        <v>269</v>
      </c>
      <c r="F29" s="57" t="s">
        <v>154</v>
      </c>
      <c r="G29" s="14" t="s">
        <v>270</v>
      </c>
      <c r="H29" s="14" t="s">
        <v>271</v>
      </c>
      <c r="I29" s="14" t="s">
        <v>63</v>
      </c>
      <c r="J29" s="14" t="s">
        <v>31</v>
      </c>
      <c r="K29" s="71" t="s">
        <v>32</v>
      </c>
      <c r="L29" s="71" t="s">
        <v>33</v>
      </c>
      <c r="M29" s="14" t="s">
        <v>272</v>
      </c>
      <c r="N29" s="15">
        <v>2389</v>
      </c>
      <c r="O29" s="16"/>
      <c r="P29" s="19" t="s">
        <v>1041</v>
      </c>
      <c r="Q29" s="407">
        <f t="shared" si="2"/>
        <v>0</v>
      </c>
      <c r="R29" s="408"/>
    </row>
    <row r="30" spans="1:18" ht="130.5">
      <c r="A30" s="21" t="s">
        <v>273</v>
      </c>
      <c r="B30" s="14" t="s">
        <v>267</v>
      </c>
      <c r="C30" s="13">
        <v>59130</v>
      </c>
      <c r="D30" s="14" t="s">
        <v>274</v>
      </c>
      <c r="E30" s="14" t="s">
        <v>275</v>
      </c>
      <c r="F30" s="57" t="s">
        <v>154</v>
      </c>
      <c r="G30" s="14" t="s">
        <v>276</v>
      </c>
      <c r="H30" s="14" t="s">
        <v>277</v>
      </c>
      <c r="I30" s="14" t="s">
        <v>63</v>
      </c>
      <c r="J30" s="14" t="s">
        <v>31</v>
      </c>
      <c r="K30" s="71" t="s">
        <v>32</v>
      </c>
      <c r="L30" s="71" t="s">
        <v>33</v>
      </c>
      <c r="M30" s="14" t="s">
        <v>272</v>
      </c>
      <c r="N30" s="15">
        <v>2389</v>
      </c>
      <c r="O30" s="16"/>
      <c r="P30" s="19" t="s">
        <v>1041</v>
      </c>
      <c r="Q30" s="407">
        <f t="shared" si="2"/>
        <v>0</v>
      </c>
      <c r="R30" s="408"/>
    </row>
    <row r="31" spans="1:18" ht="130.5">
      <c r="A31" s="21" t="s">
        <v>278</v>
      </c>
      <c r="B31" s="14" t="s">
        <v>267</v>
      </c>
      <c r="C31" s="13">
        <v>59130</v>
      </c>
      <c r="D31" s="14" t="s">
        <v>279</v>
      </c>
      <c r="E31" s="14" t="s">
        <v>280</v>
      </c>
      <c r="F31" s="57" t="s">
        <v>154</v>
      </c>
      <c r="G31" s="14" t="s">
        <v>281</v>
      </c>
      <c r="H31" s="14" t="s">
        <v>282</v>
      </c>
      <c r="I31" s="14" t="s">
        <v>63</v>
      </c>
      <c r="J31" s="14" t="s">
        <v>31</v>
      </c>
      <c r="K31" s="71" t="s">
        <v>32</v>
      </c>
      <c r="L31" s="71" t="s">
        <v>33</v>
      </c>
      <c r="M31" s="14" t="s">
        <v>64</v>
      </c>
      <c r="N31" s="15">
        <v>2389</v>
      </c>
      <c r="O31" s="16"/>
      <c r="P31" s="19" t="s">
        <v>1041</v>
      </c>
      <c r="Q31" s="407">
        <f t="shared" si="2"/>
        <v>0</v>
      </c>
      <c r="R31" s="408"/>
    </row>
    <row r="32" spans="1:18" ht="113.5" customHeight="1">
      <c r="A32" s="21" t="s">
        <v>283</v>
      </c>
      <c r="B32" s="14" t="s">
        <v>284</v>
      </c>
      <c r="C32" s="13">
        <v>51114</v>
      </c>
      <c r="D32" s="14" t="s">
        <v>285</v>
      </c>
      <c r="E32" s="14" t="s">
        <v>286</v>
      </c>
      <c r="F32" s="57" t="s">
        <v>154</v>
      </c>
      <c r="G32" s="14" t="s">
        <v>287</v>
      </c>
      <c r="H32" s="14" t="s">
        <v>288</v>
      </c>
      <c r="I32" s="14" t="s">
        <v>24</v>
      </c>
      <c r="J32" s="14" t="s">
        <v>31</v>
      </c>
      <c r="K32" s="71" t="s">
        <v>32</v>
      </c>
      <c r="L32" s="71" t="s">
        <v>32</v>
      </c>
      <c r="M32" s="14" t="s">
        <v>53</v>
      </c>
      <c r="N32" s="15">
        <v>3700</v>
      </c>
      <c r="O32" s="16"/>
      <c r="P32" s="19"/>
      <c r="Q32" s="407">
        <f t="shared" si="2"/>
        <v>0</v>
      </c>
      <c r="R32" s="408"/>
    </row>
    <row r="33" spans="1:18" ht="111" customHeight="1">
      <c r="A33" s="21" t="s">
        <v>289</v>
      </c>
      <c r="B33" s="14" t="s">
        <v>290</v>
      </c>
      <c r="C33" s="13">
        <v>51111</v>
      </c>
      <c r="D33" s="14" t="s">
        <v>291</v>
      </c>
      <c r="E33" s="14" t="s">
        <v>292</v>
      </c>
      <c r="F33" s="57" t="s">
        <v>154</v>
      </c>
      <c r="G33" s="14" t="s">
        <v>293</v>
      </c>
      <c r="H33" s="14" t="s">
        <v>294</v>
      </c>
      <c r="I33" s="14" t="s">
        <v>24</v>
      </c>
      <c r="J33" s="14" t="s">
        <v>31</v>
      </c>
      <c r="K33" s="71" t="s">
        <v>32</v>
      </c>
      <c r="L33" s="71" t="s">
        <v>33</v>
      </c>
      <c r="M33" s="14" t="s">
        <v>220</v>
      </c>
      <c r="N33" s="15">
        <v>94000</v>
      </c>
      <c r="O33" s="16"/>
      <c r="P33" s="19"/>
      <c r="Q33" s="407">
        <f t="shared" si="2"/>
        <v>0</v>
      </c>
      <c r="R33" s="408"/>
    </row>
    <row r="34" spans="1:18" ht="145">
      <c r="A34" s="21" t="s">
        <v>295</v>
      </c>
      <c r="B34" s="14" t="s">
        <v>182</v>
      </c>
      <c r="C34" s="13">
        <v>51129</v>
      </c>
      <c r="D34" s="14" t="s">
        <v>183</v>
      </c>
      <c r="E34" s="14" t="s">
        <v>184</v>
      </c>
      <c r="F34" s="57" t="s">
        <v>154</v>
      </c>
      <c r="G34" s="14" t="s">
        <v>296</v>
      </c>
      <c r="H34" s="14" t="s">
        <v>297</v>
      </c>
      <c r="I34" s="14" t="s">
        <v>24</v>
      </c>
      <c r="J34" s="14" t="s">
        <v>31</v>
      </c>
      <c r="K34" s="71" t="s">
        <v>32</v>
      </c>
      <c r="L34" s="71" t="s">
        <v>33</v>
      </c>
      <c r="M34" s="14" t="s">
        <v>220</v>
      </c>
      <c r="N34" s="15">
        <v>10376</v>
      </c>
      <c r="O34" s="16"/>
      <c r="P34" s="19"/>
      <c r="Q34" s="407">
        <f t="shared" si="2"/>
        <v>0</v>
      </c>
      <c r="R34" s="408"/>
    </row>
    <row r="35" spans="1:18" ht="130.5">
      <c r="A35" s="21" t="s">
        <v>298</v>
      </c>
      <c r="B35" s="14" t="s">
        <v>182</v>
      </c>
      <c r="C35" s="13">
        <v>51310</v>
      </c>
      <c r="D35" s="14" t="s">
        <v>183</v>
      </c>
      <c r="E35" s="14" t="s">
        <v>184</v>
      </c>
      <c r="F35" s="57" t="s">
        <v>154</v>
      </c>
      <c r="G35" s="14" t="s">
        <v>299</v>
      </c>
      <c r="H35" s="14" t="s">
        <v>300</v>
      </c>
      <c r="I35" s="14" t="s">
        <v>24</v>
      </c>
      <c r="J35" s="14" t="s">
        <v>31</v>
      </c>
      <c r="K35" s="71" t="s">
        <v>33</v>
      </c>
      <c r="L35" s="71" t="s">
        <v>33</v>
      </c>
      <c r="M35" s="14" t="s">
        <v>56</v>
      </c>
      <c r="N35" s="15">
        <v>18000</v>
      </c>
      <c r="O35" s="16">
        <v>18000</v>
      </c>
      <c r="P35" s="19" t="s">
        <v>868</v>
      </c>
      <c r="Q35" s="407">
        <f t="shared" si="2"/>
        <v>18000</v>
      </c>
      <c r="R35" s="408"/>
    </row>
    <row r="36" spans="1:18" ht="198" customHeight="1">
      <c r="A36" s="21" t="s">
        <v>301</v>
      </c>
      <c r="B36" s="14" t="s">
        <v>182</v>
      </c>
      <c r="C36" s="13">
        <v>51129</v>
      </c>
      <c r="D36" s="14" t="s">
        <v>183</v>
      </c>
      <c r="E36" s="14" t="s">
        <v>184</v>
      </c>
      <c r="F36" s="57" t="s">
        <v>154</v>
      </c>
      <c r="G36" s="14" t="s">
        <v>302</v>
      </c>
      <c r="H36" s="14" t="s">
        <v>303</v>
      </c>
      <c r="I36" s="14" t="s">
        <v>24</v>
      </c>
      <c r="J36" s="14" t="s">
        <v>31</v>
      </c>
      <c r="K36" s="71" t="s">
        <v>32</v>
      </c>
      <c r="L36" s="71" t="s">
        <v>33</v>
      </c>
      <c r="M36" s="14" t="s">
        <v>53</v>
      </c>
      <c r="N36" s="15">
        <v>7500</v>
      </c>
      <c r="O36" s="16"/>
      <c r="P36" s="19"/>
      <c r="Q36" s="407">
        <f t="shared" si="2"/>
        <v>0</v>
      </c>
      <c r="R36" s="408"/>
    </row>
    <row r="37" spans="1:18" ht="111" customHeight="1">
      <c r="A37" s="21" t="s">
        <v>304</v>
      </c>
      <c r="B37" s="14" t="s">
        <v>305</v>
      </c>
      <c r="C37" s="13">
        <v>51310</v>
      </c>
      <c r="D37" s="14" t="s">
        <v>306</v>
      </c>
      <c r="E37" s="14" t="s">
        <v>307</v>
      </c>
      <c r="F37" s="57" t="s">
        <v>154</v>
      </c>
      <c r="G37" s="14" t="s">
        <v>308</v>
      </c>
      <c r="H37" s="14" t="s">
        <v>309</v>
      </c>
      <c r="I37" s="14" t="s">
        <v>24</v>
      </c>
      <c r="J37" s="14" t="s">
        <v>31</v>
      </c>
      <c r="K37" s="71" t="s">
        <v>33</v>
      </c>
      <c r="L37" s="71" t="s">
        <v>33</v>
      </c>
      <c r="M37" s="14" t="s">
        <v>25</v>
      </c>
      <c r="N37" s="15">
        <v>60000</v>
      </c>
      <c r="O37" s="16">
        <v>60000</v>
      </c>
      <c r="P37" s="19" t="s">
        <v>871</v>
      </c>
      <c r="Q37" s="407">
        <f t="shared" si="2"/>
        <v>60000</v>
      </c>
      <c r="R37" s="408"/>
    </row>
    <row r="38" spans="1:18" ht="130.5">
      <c r="A38" s="21" t="s">
        <v>310</v>
      </c>
      <c r="B38" s="14" t="s">
        <v>305</v>
      </c>
      <c r="C38" s="13">
        <v>51310</v>
      </c>
      <c r="D38" s="14" t="s">
        <v>306</v>
      </c>
      <c r="E38" s="14" t="s">
        <v>307</v>
      </c>
      <c r="F38" s="57" t="s">
        <v>154</v>
      </c>
      <c r="G38" s="14" t="s">
        <v>311</v>
      </c>
      <c r="H38" s="14" t="s">
        <v>312</v>
      </c>
      <c r="I38" s="14" t="s">
        <v>24</v>
      </c>
      <c r="J38" s="14" t="s">
        <v>31</v>
      </c>
      <c r="K38" s="71" t="s">
        <v>33</v>
      </c>
      <c r="L38" s="71" t="s">
        <v>32</v>
      </c>
      <c r="M38" s="14" t="s">
        <v>25</v>
      </c>
      <c r="N38" s="15">
        <v>30000</v>
      </c>
      <c r="O38" s="16"/>
      <c r="P38" s="19"/>
      <c r="Q38" s="407">
        <f t="shared" si="2"/>
        <v>0</v>
      </c>
      <c r="R38" s="408"/>
    </row>
    <row r="39" spans="1:18" ht="189" customHeight="1">
      <c r="A39" s="21" t="s">
        <v>313</v>
      </c>
      <c r="B39" s="14" t="s">
        <v>314</v>
      </c>
      <c r="C39" s="13">
        <v>51310</v>
      </c>
      <c r="D39" s="14" t="s">
        <v>315</v>
      </c>
      <c r="E39" s="14" t="s">
        <v>316</v>
      </c>
      <c r="F39" s="57" t="s">
        <v>154</v>
      </c>
      <c r="G39" s="14" t="s">
        <v>317</v>
      </c>
      <c r="H39" s="14" t="s">
        <v>318</v>
      </c>
      <c r="I39" s="14" t="s">
        <v>24</v>
      </c>
      <c r="J39" s="14" t="s">
        <v>31</v>
      </c>
      <c r="K39" s="71" t="s">
        <v>33</v>
      </c>
      <c r="L39" s="71" t="s">
        <v>33</v>
      </c>
      <c r="M39" s="14" t="s">
        <v>25</v>
      </c>
      <c r="N39" s="15">
        <v>32000</v>
      </c>
      <c r="O39" s="16">
        <v>32000</v>
      </c>
      <c r="P39" s="19" t="s">
        <v>872</v>
      </c>
      <c r="Q39" s="407">
        <f t="shared" si="2"/>
        <v>32000</v>
      </c>
      <c r="R39" s="408"/>
    </row>
    <row r="40" spans="1:18" ht="130.5">
      <c r="A40" s="21" t="s">
        <v>319</v>
      </c>
      <c r="B40" s="14" t="s">
        <v>314</v>
      </c>
      <c r="C40" s="13">
        <v>51310</v>
      </c>
      <c r="D40" s="14" t="s">
        <v>320</v>
      </c>
      <c r="E40" s="14" t="s">
        <v>321</v>
      </c>
      <c r="F40" s="57" t="s">
        <v>154</v>
      </c>
      <c r="G40" s="14" t="s">
        <v>322</v>
      </c>
      <c r="H40" s="14" t="s">
        <v>323</v>
      </c>
      <c r="I40" s="14" t="s">
        <v>24</v>
      </c>
      <c r="J40" s="14" t="s">
        <v>31</v>
      </c>
      <c r="K40" s="71" t="s">
        <v>33</v>
      </c>
      <c r="L40" s="71" t="s">
        <v>33</v>
      </c>
      <c r="M40" s="14" t="s">
        <v>25</v>
      </c>
      <c r="N40" s="15">
        <v>16000</v>
      </c>
      <c r="O40" s="16">
        <v>16000</v>
      </c>
      <c r="P40" s="19" t="s">
        <v>872</v>
      </c>
      <c r="Q40" s="407">
        <f t="shared" si="2"/>
        <v>16000</v>
      </c>
      <c r="R40" s="408"/>
    </row>
    <row r="41" spans="1:18" ht="133" customHeight="1">
      <c r="A41" s="21" t="s">
        <v>324</v>
      </c>
      <c r="B41" s="14" t="s">
        <v>160</v>
      </c>
      <c r="C41" s="13">
        <v>51310</v>
      </c>
      <c r="D41" s="14" t="s">
        <v>161</v>
      </c>
      <c r="E41" s="14" t="s">
        <v>162</v>
      </c>
      <c r="F41" s="57" t="s">
        <v>154</v>
      </c>
      <c r="G41" s="14" t="s">
        <v>325</v>
      </c>
      <c r="H41" s="14" t="s">
        <v>326</v>
      </c>
      <c r="I41" s="14" t="s">
        <v>24</v>
      </c>
      <c r="J41" s="14" t="s">
        <v>31</v>
      </c>
      <c r="K41" s="71" t="s">
        <v>33</v>
      </c>
      <c r="L41" s="71" t="s">
        <v>32</v>
      </c>
      <c r="M41" s="14" t="s">
        <v>191</v>
      </c>
      <c r="N41" s="15">
        <v>11550</v>
      </c>
      <c r="O41" s="16">
        <v>11550</v>
      </c>
      <c r="P41" s="19" t="s">
        <v>874</v>
      </c>
      <c r="Q41" s="407">
        <f t="shared" si="2"/>
        <v>11550</v>
      </c>
      <c r="R41" s="408"/>
    </row>
    <row r="42" spans="1:18" ht="195.65" customHeight="1">
      <c r="A42" s="21" t="s">
        <v>327</v>
      </c>
      <c r="B42" s="14" t="s">
        <v>160</v>
      </c>
      <c r="C42" s="13">
        <v>51310</v>
      </c>
      <c r="D42" s="14" t="s">
        <v>161</v>
      </c>
      <c r="E42" s="14" t="s">
        <v>162</v>
      </c>
      <c r="F42" s="57" t="s">
        <v>154</v>
      </c>
      <c r="G42" s="14" t="s">
        <v>328</v>
      </c>
      <c r="H42" s="14" t="s">
        <v>329</v>
      </c>
      <c r="I42" s="14" t="s">
        <v>24</v>
      </c>
      <c r="J42" s="14" t="s">
        <v>158</v>
      </c>
      <c r="K42" s="71" t="s">
        <v>33</v>
      </c>
      <c r="L42" s="71" t="s">
        <v>32</v>
      </c>
      <c r="M42" s="14" t="s">
        <v>25</v>
      </c>
      <c r="N42" s="15">
        <v>195000</v>
      </c>
      <c r="O42" s="16">
        <v>185000</v>
      </c>
      <c r="P42" s="19" t="s">
        <v>873</v>
      </c>
      <c r="Q42" s="407">
        <f t="shared" si="2"/>
        <v>185000</v>
      </c>
      <c r="R42" s="408"/>
    </row>
    <row r="43" spans="1:18" ht="141.65" customHeight="1">
      <c r="A43" s="21" t="s">
        <v>330</v>
      </c>
      <c r="B43" s="14" t="s">
        <v>160</v>
      </c>
      <c r="C43" s="13">
        <v>51310</v>
      </c>
      <c r="D43" s="14" t="s">
        <v>161</v>
      </c>
      <c r="E43" s="14" t="s">
        <v>162</v>
      </c>
      <c r="F43" s="57" t="s">
        <v>154</v>
      </c>
      <c r="G43" s="14" t="s">
        <v>331</v>
      </c>
      <c r="H43" s="14" t="s">
        <v>332</v>
      </c>
      <c r="I43" s="14" t="s">
        <v>24</v>
      </c>
      <c r="J43" s="14" t="s">
        <v>31</v>
      </c>
      <c r="K43" s="71" t="s">
        <v>32</v>
      </c>
      <c r="L43" s="71" t="s">
        <v>32</v>
      </c>
      <c r="M43" s="14" t="s">
        <v>45</v>
      </c>
      <c r="N43" s="15">
        <v>10102</v>
      </c>
      <c r="O43" s="16">
        <v>10102</v>
      </c>
      <c r="P43" s="19" t="s">
        <v>872</v>
      </c>
      <c r="Q43" s="407">
        <f t="shared" si="2"/>
        <v>10102</v>
      </c>
      <c r="R43" s="408"/>
    </row>
    <row r="44" spans="1:18" ht="130.5">
      <c r="A44" s="21" t="s">
        <v>333</v>
      </c>
      <c r="B44" s="14" t="s">
        <v>160</v>
      </c>
      <c r="C44" s="13">
        <v>51310</v>
      </c>
      <c r="D44" s="14" t="s">
        <v>161</v>
      </c>
      <c r="E44" s="14" t="s">
        <v>162</v>
      </c>
      <c r="F44" s="57" t="s">
        <v>154</v>
      </c>
      <c r="G44" s="14" t="s">
        <v>334</v>
      </c>
      <c r="H44" s="14" t="s">
        <v>335</v>
      </c>
      <c r="I44" s="14" t="s">
        <v>24</v>
      </c>
      <c r="J44" s="14" t="s">
        <v>190</v>
      </c>
      <c r="K44" s="71" t="s">
        <v>32</v>
      </c>
      <c r="L44" s="71" t="s">
        <v>32</v>
      </c>
      <c r="M44" s="14" t="s">
        <v>220</v>
      </c>
      <c r="N44" s="15">
        <v>21450</v>
      </c>
      <c r="O44" s="16"/>
      <c r="P44" s="19" t="s">
        <v>877</v>
      </c>
      <c r="Q44" s="407">
        <f t="shared" si="2"/>
        <v>0</v>
      </c>
      <c r="R44" s="408"/>
    </row>
    <row r="45" spans="1:18" ht="174">
      <c r="A45" s="21" t="s">
        <v>336</v>
      </c>
      <c r="B45" s="14" t="s">
        <v>160</v>
      </c>
      <c r="C45" s="13">
        <v>51230</v>
      </c>
      <c r="D45" s="14" t="s">
        <v>161</v>
      </c>
      <c r="E45" s="14" t="s">
        <v>162</v>
      </c>
      <c r="F45" s="57" t="s">
        <v>154</v>
      </c>
      <c r="G45" s="14" t="s">
        <v>337</v>
      </c>
      <c r="H45" s="14" t="s">
        <v>338</v>
      </c>
      <c r="I45" s="14" t="s">
        <v>24</v>
      </c>
      <c r="J45" s="14" t="s">
        <v>158</v>
      </c>
      <c r="K45" s="71" t="s">
        <v>32</v>
      </c>
      <c r="L45" s="71" t="s">
        <v>33</v>
      </c>
      <c r="M45" s="14" t="s">
        <v>56</v>
      </c>
      <c r="N45" s="15">
        <v>61480</v>
      </c>
      <c r="O45" s="16"/>
      <c r="P45" s="19" t="s">
        <v>869</v>
      </c>
      <c r="Q45" s="407">
        <f t="shared" si="2"/>
        <v>0</v>
      </c>
      <c r="R45" s="408"/>
    </row>
    <row r="46" spans="1:18" ht="217.5">
      <c r="A46" s="21" t="s">
        <v>339</v>
      </c>
      <c r="B46" s="14" t="s">
        <v>193</v>
      </c>
      <c r="C46" s="13">
        <v>51310</v>
      </c>
      <c r="D46" s="14" t="s">
        <v>340</v>
      </c>
      <c r="E46" s="14" t="s">
        <v>341</v>
      </c>
      <c r="F46" s="57" t="s">
        <v>154</v>
      </c>
      <c r="G46" s="14" t="s">
        <v>342</v>
      </c>
      <c r="H46" s="14" t="s">
        <v>343</v>
      </c>
      <c r="I46" s="14" t="s">
        <v>24</v>
      </c>
      <c r="J46" s="14" t="s">
        <v>31</v>
      </c>
      <c r="K46" s="71" t="s">
        <v>33</v>
      </c>
      <c r="L46" s="71" t="s">
        <v>33</v>
      </c>
      <c r="M46" s="14" t="s">
        <v>25</v>
      </c>
      <c r="N46" s="15">
        <v>5600</v>
      </c>
      <c r="O46" s="16"/>
      <c r="P46" s="19"/>
      <c r="Q46" s="407">
        <f t="shared" si="2"/>
        <v>0</v>
      </c>
      <c r="R46" s="408"/>
    </row>
    <row r="47" spans="1:18" ht="110.5" customHeight="1">
      <c r="A47" s="21" t="s">
        <v>344</v>
      </c>
      <c r="B47" s="14" t="s">
        <v>193</v>
      </c>
      <c r="C47" s="13">
        <v>51316</v>
      </c>
      <c r="D47" s="14" t="s">
        <v>340</v>
      </c>
      <c r="E47" s="14" t="s">
        <v>341</v>
      </c>
      <c r="F47" s="57" t="s">
        <v>154</v>
      </c>
      <c r="G47" s="14" t="s">
        <v>345</v>
      </c>
      <c r="H47" s="14" t="s">
        <v>346</v>
      </c>
      <c r="I47" s="14" t="s">
        <v>24</v>
      </c>
      <c r="J47" s="14" t="s">
        <v>31</v>
      </c>
      <c r="K47" s="71" t="s">
        <v>32</v>
      </c>
      <c r="L47" s="71" t="s">
        <v>33</v>
      </c>
      <c r="M47" s="14" t="s">
        <v>25</v>
      </c>
      <c r="N47" s="15">
        <v>21320</v>
      </c>
      <c r="O47" s="16"/>
      <c r="P47" s="19"/>
      <c r="Q47" s="407">
        <f t="shared" si="2"/>
        <v>0</v>
      </c>
      <c r="R47" s="408"/>
    </row>
    <row r="48" spans="1:18" ht="409.5">
      <c r="A48" s="21" t="s">
        <v>347</v>
      </c>
      <c r="B48" s="14" t="s">
        <v>193</v>
      </c>
      <c r="C48" s="13">
        <v>51230</v>
      </c>
      <c r="D48" s="14" t="s">
        <v>348</v>
      </c>
      <c r="E48" s="14" t="s">
        <v>349</v>
      </c>
      <c r="F48" s="57" t="s">
        <v>154</v>
      </c>
      <c r="G48" s="14" t="s">
        <v>350</v>
      </c>
      <c r="H48" s="14" t="s">
        <v>351</v>
      </c>
      <c r="I48" s="14" t="s">
        <v>24</v>
      </c>
      <c r="J48" s="14" t="s">
        <v>31</v>
      </c>
      <c r="K48" s="71" t="s">
        <v>32</v>
      </c>
      <c r="L48" s="71" t="s">
        <v>33</v>
      </c>
      <c r="M48" s="14" t="s">
        <v>25</v>
      </c>
      <c r="N48" s="15">
        <v>49000</v>
      </c>
      <c r="O48" s="16"/>
      <c r="P48" s="19" t="s">
        <v>875</v>
      </c>
      <c r="Q48" s="407">
        <f t="shared" si="2"/>
        <v>0</v>
      </c>
      <c r="R48" s="408"/>
    </row>
    <row r="49" spans="1:18" ht="136" customHeight="1">
      <c r="A49" s="21" t="s">
        <v>352</v>
      </c>
      <c r="B49" s="14" t="s">
        <v>193</v>
      </c>
      <c r="C49" s="13">
        <v>51316</v>
      </c>
      <c r="D49" s="14" t="s">
        <v>348</v>
      </c>
      <c r="E49" s="14" t="s">
        <v>349</v>
      </c>
      <c r="F49" s="57" t="s">
        <v>154</v>
      </c>
      <c r="G49" s="14" t="s">
        <v>345</v>
      </c>
      <c r="H49" s="14" t="s">
        <v>353</v>
      </c>
      <c r="I49" s="14" t="s">
        <v>24</v>
      </c>
      <c r="J49" s="14" t="s">
        <v>31</v>
      </c>
      <c r="K49" s="71" t="s">
        <v>32</v>
      </c>
      <c r="L49" s="71" t="s">
        <v>33</v>
      </c>
      <c r="M49" s="14" t="s">
        <v>45</v>
      </c>
      <c r="N49" s="15">
        <v>21860</v>
      </c>
      <c r="O49" s="16"/>
      <c r="P49" s="19"/>
      <c r="Q49" s="407">
        <f t="shared" si="2"/>
        <v>0</v>
      </c>
      <c r="R49" s="408"/>
    </row>
    <row r="50" spans="1:18" ht="217.5">
      <c r="A50" s="21" t="s">
        <v>354</v>
      </c>
      <c r="B50" s="14" t="s">
        <v>193</v>
      </c>
      <c r="C50" s="13">
        <v>51310</v>
      </c>
      <c r="D50" s="14" t="s">
        <v>355</v>
      </c>
      <c r="E50" s="14" t="s">
        <v>356</v>
      </c>
      <c r="F50" s="57" t="s">
        <v>154</v>
      </c>
      <c r="G50" s="14" t="s">
        <v>357</v>
      </c>
      <c r="H50" s="14" t="s">
        <v>358</v>
      </c>
      <c r="I50" s="14" t="s">
        <v>24</v>
      </c>
      <c r="J50" s="14" t="s">
        <v>31</v>
      </c>
      <c r="K50" s="71" t="s">
        <v>33</v>
      </c>
      <c r="L50" s="71" t="s">
        <v>33</v>
      </c>
      <c r="M50" s="14" t="s">
        <v>25</v>
      </c>
      <c r="N50" s="15">
        <v>8250</v>
      </c>
      <c r="O50" s="16">
        <v>8250</v>
      </c>
      <c r="P50" s="19" t="s">
        <v>872</v>
      </c>
      <c r="Q50" s="407">
        <f t="shared" si="2"/>
        <v>8250</v>
      </c>
      <c r="R50" s="408"/>
    </row>
    <row r="51" spans="1:18" ht="381.65" customHeight="1">
      <c r="A51" s="21" t="s">
        <v>359</v>
      </c>
      <c r="B51" s="14" t="s">
        <v>193</v>
      </c>
      <c r="C51" s="13">
        <v>51310</v>
      </c>
      <c r="D51" s="14" t="s">
        <v>194</v>
      </c>
      <c r="E51" s="14" t="s">
        <v>195</v>
      </c>
      <c r="F51" s="57" t="s">
        <v>154</v>
      </c>
      <c r="G51" s="14" t="s">
        <v>360</v>
      </c>
      <c r="H51" s="14" t="s">
        <v>361</v>
      </c>
      <c r="I51" s="14" t="s">
        <v>24</v>
      </c>
      <c r="J51" s="14" t="s">
        <v>31</v>
      </c>
      <c r="K51" s="71" t="s">
        <v>33</v>
      </c>
      <c r="L51" s="71" t="s">
        <v>32</v>
      </c>
      <c r="M51" s="14" t="s">
        <v>25</v>
      </c>
      <c r="N51" s="15">
        <v>7000</v>
      </c>
      <c r="O51" s="16"/>
      <c r="P51" s="19" t="s">
        <v>876</v>
      </c>
      <c r="Q51" s="407">
        <f t="shared" si="2"/>
        <v>0</v>
      </c>
      <c r="R51" s="408"/>
    </row>
    <row r="52" spans="1:18" ht="232">
      <c r="A52" s="21" t="s">
        <v>362</v>
      </c>
      <c r="B52" s="14" t="s">
        <v>193</v>
      </c>
      <c r="C52" s="13">
        <v>51230</v>
      </c>
      <c r="D52" s="14" t="s">
        <v>340</v>
      </c>
      <c r="E52" s="14" t="s">
        <v>341</v>
      </c>
      <c r="F52" s="57" t="s">
        <v>154</v>
      </c>
      <c r="G52" s="14" t="s">
        <v>363</v>
      </c>
      <c r="H52" s="14" t="s">
        <v>364</v>
      </c>
      <c r="I52" s="14" t="s">
        <v>24</v>
      </c>
      <c r="J52" s="14" t="s">
        <v>31</v>
      </c>
      <c r="K52" s="71" t="s">
        <v>33</v>
      </c>
      <c r="L52" s="71" t="s">
        <v>32</v>
      </c>
      <c r="M52" s="14" t="s">
        <v>25</v>
      </c>
      <c r="N52" s="15">
        <v>42211</v>
      </c>
      <c r="O52" s="16"/>
      <c r="P52" s="19"/>
      <c r="Q52" s="407">
        <f t="shared" si="2"/>
        <v>0</v>
      </c>
      <c r="R52" s="408"/>
    </row>
    <row r="53" spans="1:18" ht="145">
      <c r="A53" s="21" t="s">
        <v>365</v>
      </c>
      <c r="B53" s="14" t="s">
        <v>193</v>
      </c>
      <c r="C53" s="13">
        <v>51230</v>
      </c>
      <c r="D53" s="14" t="s">
        <v>366</v>
      </c>
      <c r="E53" s="14" t="s">
        <v>367</v>
      </c>
      <c r="F53" s="57" t="s">
        <v>154</v>
      </c>
      <c r="G53" s="14" t="s">
        <v>368</v>
      </c>
      <c r="H53" s="14" t="s">
        <v>369</v>
      </c>
      <c r="I53" s="14" t="s">
        <v>24</v>
      </c>
      <c r="J53" s="14" t="s">
        <v>370</v>
      </c>
      <c r="K53" s="71" t="s">
        <v>32</v>
      </c>
      <c r="L53" s="71" t="s">
        <v>33</v>
      </c>
      <c r="M53" s="14" t="s">
        <v>45</v>
      </c>
      <c r="N53" s="15">
        <v>20000</v>
      </c>
      <c r="O53" s="16"/>
      <c r="P53" s="19"/>
      <c r="Q53" s="407">
        <f t="shared" si="2"/>
        <v>0</v>
      </c>
      <c r="R53" s="408"/>
    </row>
    <row r="54" spans="1:18" ht="409.5">
      <c r="A54" s="21" t="s">
        <v>371</v>
      </c>
      <c r="B54" s="14" t="s">
        <v>199</v>
      </c>
      <c r="C54" s="13">
        <v>51230</v>
      </c>
      <c r="D54" s="14" t="s">
        <v>200</v>
      </c>
      <c r="E54" s="14" t="s">
        <v>201</v>
      </c>
      <c r="F54" s="57" t="s">
        <v>154</v>
      </c>
      <c r="G54" s="14" t="s">
        <v>372</v>
      </c>
      <c r="H54" s="14" t="s">
        <v>373</v>
      </c>
      <c r="I54" s="14" t="s">
        <v>24</v>
      </c>
      <c r="J54" s="14" t="s">
        <v>31</v>
      </c>
      <c r="K54" s="71" t="s">
        <v>32</v>
      </c>
      <c r="L54" s="71" t="s">
        <v>33</v>
      </c>
      <c r="M54" s="14" t="s">
        <v>53</v>
      </c>
      <c r="N54" s="15">
        <v>59000</v>
      </c>
      <c r="O54" s="16"/>
      <c r="P54" s="19"/>
      <c r="Q54" s="407">
        <f t="shared" si="2"/>
        <v>0</v>
      </c>
      <c r="R54" s="408"/>
    </row>
    <row r="55" spans="1:18" ht="106" customHeight="1">
      <c r="A55" s="21" t="s">
        <v>374</v>
      </c>
      <c r="B55" s="14" t="s">
        <v>199</v>
      </c>
      <c r="C55" s="13">
        <v>51310</v>
      </c>
      <c r="D55" s="14" t="s">
        <v>200</v>
      </c>
      <c r="E55" s="14" t="s">
        <v>201</v>
      </c>
      <c r="F55" s="57" t="s">
        <v>154</v>
      </c>
      <c r="G55" s="14" t="s">
        <v>375</v>
      </c>
      <c r="H55" s="14" t="s">
        <v>376</v>
      </c>
      <c r="I55" s="14" t="s">
        <v>24</v>
      </c>
      <c r="J55" s="14" t="s">
        <v>31</v>
      </c>
      <c r="K55" s="71" t="s">
        <v>32</v>
      </c>
      <c r="L55" s="71" t="s">
        <v>33</v>
      </c>
      <c r="M55" s="14" t="s">
        <v>53</v>
      </c>
      <c r="N55" s="15">
        <v>7000</v>
      </c>
      <c r="O55" s="16">
        <v>0</v>
      </c>
      <c r="P55" s="19" t="s">
        <v>531</v>
      </c>
      <c r="Q55" s="407">
        <f t="shared" si="2"/>
        <v>0</v>
      </c>
      <c r="R55" s="408"/>
    </row>
    <row r="56" spans="1:18" ht="246.5">
      <c r="A56" s="21" t="s">
        <v>377</v>
      </c>
      <c r="B56" s="14" t="s">
        <v>199</v>
      </c>
      <c r="C56" s="13">
        <v>51310</v>
      </c>
      <c r="D56" s="14" t="s">
        <v>200</v>
      </c>
      <c r="E56" s="14" t="s">
        <v>201</v>
      </c>
      <c r="F56" s="57" t="s">
        <v>154</v>
      </c>
      <c r="G56" s="14" t="s">
        <v>378</v>
      </c>
      <c r="H56" s="14" t="s">
        <v>379</v>
      </c>
      <c r="I56" s="14" t="s">
        <v>24</v>
      </c>
      <c r="J56" s="14" t="s">
        <v>31</v>
      </c>
      <c r="K56" s="71" t="s">
        <v>33</v>
      </c>
      <c r="L56" s="71" t="s">
        <v>33</v>
      </c>
      <c r="M56" s="14" t="s">
        <v>25</v>
      </c>
      <c r="N56" s="15">
        <v>59000</v>
      </c>
      <c r="O56" s="16">
        <v>22221</v>
      </c>
      <c r="P56" s="19" t="s">
        <v>532</v>
      </c>
      <c r="Q56" s="407">
        <f t="shared" si="2"/>
        <v>22221</v>
      </c>
      <c r="R56" s="408"/>
    </row>
    <row r="57" spans="1:18" ht="130.5">
      <c r="A57" s="21" t="s">
        <v>380</v>
      </c>
      <c r="B57" s="14" t="s">
        <v>199</v>
      </c>
      <c r="C57" s="13">
        <v>51230</v>
      </c>
      <c r="D57" s="14" t="s">
        <v>200</v>
      </c>
      <c r="E57" s="14" t="s">
        <v>201</v>
      </c>
      <c r="F57" s="57" t="s">
        <v>154</v>
      </c>
      <c r="G57" s="14" t="s">
        <v>381</v>
      </c>
      <c r="H57" s="14" t="s">
        <v>382</v>
      </c>
      <c r="I57" s="14" t="s">
        <v>24</v>
      </c>
      <c r="J57" s="14" t="s">
        <v>31</v>
      </c>
      <c r="K57" s="71" t="s">
        <v>32</v>
      </c>
      <c r="L57" s="71" t="s">
        <v>33</v>
      </c>
      <c r="M57" s="14" t="s">
        <v>53</v>
      </c>
      <c r="N57" s="15">
        <v>59000</v>
      </c>
      <c r="O57" s="16"/>
      <c r="P57" s="19"/>
      <c r="Q57" s="407">
        <f t="shared" si="2"/>
        <v>0</v>
      </c>
      <c r="R57" s="408"/>
    </row>
    <row r="58" spans="1:18" ht="109" customHeight="1">
      <c r="A58" s="21" t="s">
        <v>383</v>
      </c>
      <c r="B58" s="14" t="s">
        <v>384</v>
      </c>
      <c r="C58" s="13">
        <v>51310</v>
      </c>
      <c r="D58" s="14" t="s">
        <v>385</v>
      </c>
      <c r="E58" s="14" t="s">
        <v>386</v>
      </c>
      <c r="F58" s="57" t="s">
        <v>154</v>
      </c>
      <c r="G58" s="14" t="s">
        <v>387</v>
      </c>
      <c r="H58" s="14" t="s">
        <v>388</v>
      </c>
      <c r="I58" s="14" t="s">
        <v>24</v>
      </c>
      <c r="J58" s="14" t="s">
        <v>31</v>
      </c>
      <c r="K58" s="71" t="s">
        <v>33</v>
      </c>
      <c r="L58" s="71" t="s">
        <v>32</v>
      </c>
      <c r="M58" s="14" t="s">
        <v>53</v>
      </c>
      <c r="N58" s="15">
        <v>1100</v>
      </c>
      <c r="O58" s="16">
        <v>1100</v>
      </c>
      <c r="P58" s="19" t="s">
        <v>874</v>
      </c>
      <c r="Q58" s="407">
        <f t="shared" si="2"/>
        <v>1100</v>
      </c>
      <c r="R58" s="408"/>
    </row>
    <row r="59" spans="1:18" ht="109" customHeight="1">
      <c r="A59" s="21" t="s">
        <v>389</v>
      </c>
      <c r="B59" s="14" t="s">
        <v>384</v>
      </c>
      <c r="C59" s="13">
        <v>51310</v>
      </c>
      <c r="D59" s="14" t="s">
        <v>385</v>
      </c>
      <c r="E59" s="14" t="s">
        <v>386</v>
      </c>
      <c r="F59" s="57" t="s">
        <v>154</v>
      </c>
      <c r="G59" s="14" t="s">
        <v>390</v>
      </c>
      <c r="H59" s="14" t="s">
        <v>391</v>
      </c>
      <c r="I59" s="14" t="s">
        <v>24</v>
      </c>
      <c r="J59" s="14" t="s">
        <v>31</v>
      </c>
      <c r="K59" s="71">
        <v>1</v>
      </c>
      <c r="L59" s="71">
        <v>0</v>
      </c>
      <c r="M59" s="14" t="s">
        <v>25</v>
      </c>
      <c r="N59" s="15">
        <v>6000</v>
      </c>
      <c r="O59" s="16">
        <v>6000</v>
      </c>
      <c r="P59" s="19" t="s">
        <v>872</v>
      </c>
      <c r="Q59" s="407">
        <f t="shared" si="2"/>
        <v>6000</v>
      </c>
      <c r="R59" s="408"/>
    </row>
    <row r="60" spans="1:18" ht="150.65" customHeight="1">
      <c r="A60" s="21" t="s">
        <v>392</v>
      </c>
      <c r="B60" s="14" t="s">
        <v>208</v>
      </c>
      <c r="C60" s="13">
        <v>51310</v>
      </c>
      <c r="D60" s="14" t="s">
        <v>393</v>
      </c>
      <c r="E60" s="14" t="s">
        <v>394</v>
      </c>
      <c r="F60" s="57" t="s">
        <v>154</v>
      </c>
      <c r="G60" s="14" t="s">
        <v>395</v>
      </c>
      <c r="H60" s="14" t="s">
        <v>396</v>
      </c>
      <c r="I60" s="14" t="s">
        <v>24</v>
      </c>
      <c r="J60" s="14" t="s">
        <v>158</v>
      </c>
      <c r="K60" s="71" t="s">
        <v>33</v>
      </c>
      <c r="L60" s="71" t="s">
        <v>32</v>
      </c>
      <c r="M60" s="14" t="s">
        <v>25</v>
      </c>
      <c r="N60" s="15">
        <v>34500</v>
      </c>
      <c r="O60" s="16">
        <v>34500</v>
      </c>
      <c r="P60" s="19" t="s">
        <v>872</v>
      </c>
      <c r="Q60" s="407">
        <f t="shared" si="2"/>
        <v>34500</v>
      </c>
      <c r="R60" s="408"/>
    </row>
    <row r="61" spans="1:18" ht="139" customHeight="1">
      <c r="A61" s="21" t="s">
        <v>397</v>
      </c>
      <c r="B61" s="14" t="s">
        <v>208</v>
      </c>
      <c r="C61" s="13">
        <v>51310</v>
      </c>
      <c r="D61" s="14" t="s">
        <v>393</v>
      </c>
      <c r="E61" s="14" t="s">
        <v>394</v>
      </c>
      <c r="F61" s="57" t="s">
        <v>154</v>
      </c>
      <c r="G61" s="14" t="s">
        <v>398</v>
      </c>
      <c r="H61" s="14" t="s">
        <v>399</v>
      </c>
      <c r="I61" s="14" t="s">
        <v>24</v>
      </c>
      <c r="J61" s="14" t="s">
        <v>158</v>
      </c>
      <c r="K61" s="71" t="s">
        <v>33</v>
      </c>
      <c r="L61" s="71" t="s">
        <v>32</v>
      </c>
      <c r="M61" s="14" t="s">
        <v>45</v>
      </c>
      <c r="N61" s="15">
        <v>12500</v>
      </c>
      <c r="O61" s="16">
        <v>12500</v>
      </c>
      <c r="P61" s="19" t="s">
        <v>872</v>
      </c>
      <c r="Q61" s="407">
        <f t="shared" si="2"/>
        <v>12500</v>
      </c>
      <c r="R61" s="408"/>
    </row>
    <row r="62" spans="1:18" ht="162.65" customHeight="1">
      <c r="A62" s="21" t="s">
        <v>400</v>
      </c>
      <c r="B62" s="14" t="s">
        <v>208</v>
      </c>
      <c r="C62" s="13">
        <v>51310</v>
      </c>
      <c r="D62" s="14" t="s">
        <v>209</v>
      </c>
      <c r="E62" s="14" t="s">
        <v>210</v>
      </c>
      <c r="F62" s="57" t="s">
        <v>154</v>
      </c>
      <c r="G62" s="14" t="s">
        <v>401</v>
      </c>
      <c r="H62" s="14" t="s">
        <v>402</v>
      </c>
      <c r="I62" s="14" t="s">
        <v>24</v>
      </c>
      <c r="J62" s="14" t="s">
        <v>158</v>
      </c>
      <c r="K62" s="71" t="s">
        <v>33</v>
      </c>
      <c r="L62" s="71" t="s">
        <v>32</v>
      </c>
      <c r="M62" s="14" t="s">
        <v>25</v>
      </c>
      <c r="N62" s="15">
        <v>23000</v>
      </c>
      <c r="O62" s="16">
        <v>23000</v>
      </c>
      <c r="P62" s="19" t="s">
        <v>872</v>
      </c>
      <c r="Q62" s="407">
        <f t="shared" si="2"/>
        <v>23000</v>
      </c>
      <c r="R62" s="408"/>
    </row>
    <row r="63" spans="1:18" ht="130.5">
      <c r="A63" s="21" t="s">
        <v>403</v>
      </c>
      <c r="B63" s="14" t="s">
        <v>166</v>
      </c>
      <c r="C63" s="13">
        <v>51114</v>
      </c>
      <c r="D63" s="14" t="s">
        <v>167</v>
      </c>
      <c r="E63" s="14" t="s">
        <v>168</v>
      </c>
      <c r="F63" s="57" t="s">
        <v>154</v>
      </c>
      <c r="G63" s="14" t="s">
        <v>404</v>
      </c>
      <c r="H63" s="14" t="s">
        <v>405</v>
      </c>
      <c r="I63" s="14" t="s">
        <v>24</v>
      </c>
      <c r="J63" s="14" t="s">
        <v>31</v>
      </c>
      <c r="K63" s="71" t="s">
        <v>33</v>
      </c>
      <c r="L63" s="57" t="s">
        <v>32</v>
      </c>
      <c r="M63" s="14" t="s">
        <v>25</v>
      </c>
      <c r="N63" s="15">
        <v>26650</v>
      </c>
      <c r="O63" s="16">
        <v>15890</v>
      </c>
      <c r="P63" s="19" t="s">
        <v>872</v>
      </c>
      <c r="Q63" s="407">
        <f t="shared" si="2"/>
        <v>15890</v>
      </c>
      <c r="R63" s="408"/>
    </row>
    <row r="64" spans="1:18" ht="130.5">
      <c r="A64" s="21" t="s">
        <v>406</v>
      </c>
      <c r="B64" s="14" t="s">
        <v>166</v>
      </c>
      <c r="C64" s="13">
        <v>51310</v>
      </c>
      <c r="D64" s="14" t="s">
        <v>167</v>
      </c>
      <c r="E64" s="14" t="s">
        <v>168</v>
      </c>
      <c r="F64" s="57" t="s">
        <v>154</v>
      </c>
      <c r="G64" s="14" t="s">
        <v>407</v>
      </c>
      <c r="H64" s="14" t="s">
        <v>408</v>
      </c>
      <c r="I64" s="14" t="s">
        <v>24</v>
      </c>
      <c r="J64" s="14" t="s">
        <v>31</v>
      </c>
      <c r="K64" s="71" t="s">
        <v>33</v>
      </c>
      <c r="L64" s="71" t="s">
        <v>32</v>
      </c>
      <c r="M64" s="14" t="s">
        <v>45</v>
      </c>
      <c r="N64" s="15">
        <v>10250</v>
      </c>
      <c r="O64" s="16">
        <v>5625</v>
      </c>
      <c r="P64" s="19" t="s">
        <v>872</v>
      </c>
      <c r="Q64" s="407">
        <f t="shared" si="2"/>
        <v>5625</v>
      </c>
      <c r="R64" s="408"/>
    </row>
    <row r="65" spans="1:20" ht="87">
      <c r="A65" s="21" t="s">
        <v>409</v>
      </c>
      <c r="B65" s="14" t="s">
        <v>166</v>
      </c>
      <c r="C65" s="13">
        <v>51114</v>
      </c>
      <c r="D65" s="14" t="s">
        <v>167</v>
      </c>
      <c r="E65" s="14" t="s">
        <v>168</v>
      </c>
      <c r="F65" s="57" t="s">
        <v>154</v>
      </c>
      <c r="G65" s="14" t="s">
        <v>410</v>
      </c>
      <c r="H65" s="14" t="s">
        <v>410</v>
      </c>
      <c r="I65" s="14" t="s">
        <v>24</v>
      </c>
      <c r="J65" s="14" t="s">
        <v>158</v>
      </c>
      <c r="K65" s="71" t="s">
        <v>33</v>
      </c>
      <c r="L65" s="57" t="s">
        <v>32</v>
      </c>
      <c r="M65" s="14" t="s">
        <v>45</v>
      </c>
      <c r="N65" s="15">
        <v>10356</v>
      </c>
      <c r="O65" s="16">
        <v>0</v>
      </c>
      <c r="P65" s="19"/>
      <c r="Q65" s="407">
        <f t="shared" si="2"/>
        <v>0</v>
      </c>
      <c r="R65" s="408"/>
    </row>
    <row r="66" spans="1:20" ht="105" customHeight="1">
      <c r="A66" s="21" t="s">
        <v>411</v>
      </c>
      <c r="B66" s="14" t="s">
        <v>166</v>
      </c>
      <c r="C66" s="13">
        <v>51310</v>
      </c>
      <c r="D66" s="14" t="s">
        <v>167</v>
      </c>
      <c r="E66" s="14" t="s">
        <v>168</v>
      </c>
      <c r="F66" s="57" t="s">
        <v>154</v>
      </c>
      <c r="G66" s="14" t="s">
        <v>412</v>
      </c>
      <c r="H66" s="14" t="s">
        <v>412</v>
      </c>
      <c r="I66" s="14" t="s">
        <v>24</v>
      </c>
      <c r="J66" s="14" t="s">
        <v>31</v>
      </c>
      <c r="K66" s="71" t="s">
        <v>33</v>
      </c>
      <c r="L66" s="71" t="s">
        <v>32</v>
      </c>
      <c r="M66" s="14" t="s">
        <v>45</v>
      </c>
      <c r="N66" s="15">
        <v>51780</v>
      </c>
      <c r="O66" s="16">
        <v>11780</v>
      </c>
      <c r="P66" s="19" t="s">
        <v>871</v>
      </c>
      <c r="Q66" s="407">
        <f t="shared" si="2"/>
        <v>11780</v>
      </c>
      <c r="R66" s="408"/>
    </row>
    <row r="67" spans="1:20" ht="117" customHeight="1">
      <c r="A67" s="21" t="s">
        <v>413</v>
      </c>
      <c r="B67" s="14" t="s">
        <v>166</v>
      </c>
      <c r="C67" s="13">
        <v>51230</v>
      </c>
      <c r="D67" s="14" t="s">
        <v>167</v>
      </c>
      <c r="E67" s="14" t="s">
        <v>168</v>
      </c>
      <c r="F67" s="57" t="s">
        <v>154</v>
      </c>
      <c r="G67" s="14" t="s">
        <v>414</v>
      </c>
      <c r="H67" s="14" t="s">
        <v>415</v>
      </c>
      <c r="I67" s="14" t="s">
        <v>24</v>
      </c>
      <c r="J67" s="14" t="s">
        <v>31</v>
      </c>
      <c r="K67" s="71" t="s">
        <v>32</v>
      </c>
      <c r="L67" s="71" t="s">
        <v>32</v>
      </c>
      <c r="M67" s="14" t="s">
        <v>191</v>
      </c>
      <c r="N67" s="15">
        <v>42211</v>
      </c>
      <c r="O67" s="16">
        <v>42211</v>
      </c>
      <c r="P67" s="19" t="s">
        <v>872</v>
      </c>
      <c r="Q67" s="407">
        <f t="shared" si="2"/>
        <v>42211</v>
      </c>
      <c r="R67" s="408"/>
      <c r="T67" s="118"/>
    </row>
    <row r="68" spans="1:20" ht="145">
      <c r="A68" s="21" t="s">
        <v>416</v>
      </c>
      <c r="B68" s="14" t="s">
        <v>214</v>
      </c>
      <c r="C68" s="13">
        <v>59835</v>
      </c>
      <c r="D68" s="14" t="s">
        <v>215</v>
      </c>
      <c r="E68" s="14" t="s">
        <v>216</v>
      </c>
      <c r="F68" s="57" t="s">
        <v>154</v>
      </c>
      <c r="G68" s="14" t="s">
        <v>417</v>
      </c>
      <c r="H68" s="14" t="s">
        <v>418</v>
      </c>
      <c r="I68" s="14" t="s">
        <v>24</v>
      </c>
      <c r="J68" s="14" t="s">
        <v>113</v>
      </c>
      <c r="K68" s="71" t="s">
        <v>32</v>
      </c>
      <c r="L68" s="71" t="s">
        <v>33</v>
      </c>
      <c r="M68" s="14" t="s">
        <v>53</v>
      </c>
      <c r="N68" s="15">
        <v>13200</v>
      </c>
      <c r="O68" s="16">
        <v>13200</v>
      </c>
      <c r="P68" s="19" t="s">
        <v>872</v>
      </c>
      <c r="Q68" s="407">
        <f t="shared" si="2"/>
        <v>13200</v>
      </c>
      <c r="R68" s="408"/>
    </row>
    <row r="69" spans="1:20" ht="145">
      <c r="A69" s="21" t="s">
        <v>419</v>
      </c>
      <c r="B69" s="14" t="s">
        <v>214</v>
      </c>
      <c r="C69" s="13">
        <v>51310</v>
      </c>
      <c r="D69" s="14" t="s">
        <v>215</v>
      </c>
      <c r="E69" s="14" t="s">
        <v>216</v>
      </c>
      <c r="F69" s="57" t="s">
        <v>154</v>
      </c>
      <c r="G69" s="14" t="s">
        <v>420</v>
      </c>
      <c r="H69" s="14" t="s">
        <v>421</v>
      </c>
      <c r="I69" s="14" t="s">
        <v>24</v>
      </c>
      <c r="J69" s="14" t="s">
        <v>113</v>
      </c>
      <c r="K69" s="71" t="s">
        <v>33</v>
      </c>
      <c r="L69" s="71" t="s">
        <v>33</v>
      </c>
      <c r="M69" s="14" t="s">
        <v>56</v>
      </c>
      <c r="N69" s="15">
        <v>15000</v>
      </c>
      <c r="O69" s="16">
        <v>15000</v>
      </c>
      <c r="P69" s="19" t="s">
        <v>872</v>
      </c>
      <c r="Q69" s="407">
        <f t="shared" si="2"/>
        <v>15000</v>
      </c>
      <c r="R69" s="408"/>
    </row>
    <row r="70" spans="1:20" ht="145">
      <c r="A70" s="21" t="s">
        <v>422</v>
      </c>
      <c r="B70" s="14" t="s">
        <v>214</v>
      </c>
      <c r="C70" s="13">
        <v>51310</v>
      </c>
      <c r="D70" s="14" t="s">
        <v>215</v>
      </c>
      <c r="E70" s="14" t="s">
        <v>216</v>
      </c>
      <c r="F70" s="57" t="s">
        <v>154</v>
      </c>
      <c r="G70" s="14" t="s">
        <v>423</v>
      </c>
      <c r="H70" s="14" t="s">
        <v>424</v>
      </c>
      <c r="I70" s="14" t="s">
        <v>24</v>
      </c>
      <c r="J70" s="14" t="s">
        <v>113</v>
      </c>
      <c r="K70" s="71" t="s">
        <v>33</v>
      </c>
      <c r="L70" s="71" t="s">
        <v>33</v>
      </c>
      <c r="M70" s="14" t="s">
        <v>45</v>
      </c>
      <c r="N70" s="15">
        <v>22400</v>
      </c>
      <c r="O70" s="16">
        <v>12400</v>
      </c>
      <c r="P70" s="19" t="s">
        <v>872</v>
      </c>
      <c r="Q70" s="407">
        <f t="shared" si="2"/>
        <v>12400</v>
      </c>
      <c r="R70" s="408"/>
    </row>
    <row r="71" spans="1:20" ht="87">
      <c r="A71" s="21" t="s">
        <v>425</v>
      </c>
      <c r="B71" s="14" t="s">
        <v>176</v>
      </c>
      <c r="C71" s="13">
        <v>51111</v>
      </c>
      <c r="D71" s="14" t="s">
        <v>177</v>
      </c>
      <c r="E71" s="14" t="s">
        <v>178</v>
      </c>
      <c r="F71" s="57" t="s">
        <v>154</v>
      </c>
      <c r="G71" s="14" t="s">
        <v>426</v>
      </c>
      <c r="H71" s="14" t="s">
        <v>427</v>
      </c>
      <c r="I71" s="14" t="s">
        <v>24</v>
      </c>
      <c r="J71" s="14" t="s">
        <v>158</v>
      </c>
      <c r="K71" s="71" t="s">
        <v>32</v>
      </c>
      <c r="L71" s="71" t="s">
        <v>33</v>
      </c>
      <c r="M71" s="14" t="s">
        <v>25</v>
      </c>
      <c r="N71" s="15">
        <v>94000</v>
      </c>
      <c r="O71" s="16"/>
      <c r="P71" s="19" t="s">
        <v>879</v>
      </c>
      <c r="Q71" s="407">
        <f t="shared" si="2"/>
        <v>0</v>
      </c>
      <c r="R71" s="408"/>
    </row>
    <row r="72" spans="1:20" ht="87">
      <c r="A72" s="21" t="s">
        <v>428</v>
      </c>
      <c r="B72" s="14" t="s">
        <v>176</v>
      </c>
      <c r="C72" s="13">
        <v>51111</v>
      </c>
      <c r="D72" s="14" t="s">
        <v>177</v>
      </c>
      <c r="E72" s="14" t="s">
        <v>178</v>
      </c>
      <c r="F72" s="57" t="s">
        <v>154</v>
      </c>
      <c r="G72" s="14" t="s">
        <v>429</v>
      </c>
      <c r="H72" s="14" t="s">
        <v>430</v>
      </c>
      <c r="I72" s="14" t="s">
        <v>24</v>
      </c>
      <c r="J72" s="14" t="s">
        <v>158</v>
      </c>
      <c r="K72" s="71" t="s">
        <v>32</v>
      </c>
      <c r="L72" s="71" t="s">
        <v>33</v>
      </c>
      <c r="M72" s="14" t="s">
        <v>233</v>
      </c>
      <c r="N72" s="15">
        <v>60000</v>
      </c>
      <c r="O72" s="16"/>
      <c r="P72" s="19" t="s">
        <v>880</v>
      </c>
      <c r="Q72" s="407">
        <f t="shared" si="2"/>
        <v>0</v>
      </c>
      <c r="R72" s="408"/>
    </row>
    <row r="73" spans="1:20" ht="145">
      <c r="A73" s="21" t="s">
        <v>431</v>
      </c>
      <c r="B73" s="14" t="s">
        <v>176</v>
      </c>
      <c r="C73" s="13">
        <v>51230</v>
      </c>
      <c r="D73" s="14" t="s">
        <v>177</v>
      </c>
      <c r="E73" s="14" t="s">
        <v>178</v>
      </c>
      <c r="F73" s="57" t="s">
        <v>154</v>
      </c>
      <c r="G73" s="14" t="s">
        <v>432</v>
      </c>
      <c r="H73" s="14" t="s">
        <v>433</v>
      </c>
      <c r="I73" s="14" t="s">
        <v>24</v>
      </c>
      <c r="J73" s="14" t="s">
        <v>113</v>
      </c>
      <c r="K73" s="71" t="s">
        <v>32</v>
      </c>
      <c r="L73" s="71" t="s">
        <v>33</v>
      </c>
      <c r="M73" s="14" t="s">
        <v>64</v>
      </c>
      <c r="N73" s="15">
        <v>50000</v>
      </c>
      <c r="O73" s="16">
        <v>11800</v>
      </c>
      <c r="P73" s="19" t="s">
        <v>872</v>
      </c>
      <c r="Q73" s="407">
        <f t="shared" si="2"/>
        <v>11800</v>
      </c>
      <c r="R73" s="408"/>
    </row>
    <row r="74" spans="1:20" ht="130.5">
      <c r="A74" s="21" t="s">
        <v>434</v>
      </c>
      <c r="B74" s="14" t="s">
        <v>240</v>
      </c>
      <c r="C74" s="13">
        <v>51310</v>
      </c>
      <c r="D74" s="14" t="s">
        <v>435</v>
      </c>
      <c r="E74" s="14" t="s">
        <v>436</v>
      </c>
      <c r="F74" s="57" t="s">
        <v>154</v>
      </c>
      <c r="G74" s="14" t="s">
        <v>437</v>
      </c>
      <c r="H74" s="14" t="s">
        <v>438</v>
      </c>
      <c r="I74" s="14" t="s">
        <v>24</v>
      </c>
      <c r="J74" s="14" t="s">
        <v>31</v>
      </c>
      <c r="K74" s="71" t="s">
        <v>32</v>
      </c>
      <c r="L74" s="71" t="s">
        <v>33</v>
      </c>
      <c r="M74" s="14" t="s">
        <v>53</v>
      </c>
      <c r="N74" s="15">
        <v>21600</v>
      </c>
      <c r="O74" s="16">
        <v>19745</v>
      </c>
      <c r="P74" s="19" t="s">
        <v>874</v>
      </c>
      <c r="Q74" s="407">
        <f t="shared" si="2"/>
        <v>19745</v>
      </c>
      <c r="R74" s="408"/>
    </row>
    <row r="75" spans="1:20" ht="409.5">
      <c r="A75" s="21" t="s">
        <v>439</v>
      </c>
      <c r="B75" s="14" t="s">
        <v>247</v>
      </c>
      <c r="C75" s="13">
        <v>51310</v>
      </c>
      <c r="D75" s="14" t="s">
        <v>440</v>
      </c>
      <c r="E75" s="14" t="s">
        <v>441</v>
      </c>
      <c r="F75" s="57" t="s">
        <v>154</v>
      </c>
      <c r="G75" s="14" t="s">
        <v>442</v>
      </c>
      <c r="H75" s="14" t="s">
        <v>443</v>
      </c>
      <c r="I75" s="14" t="s">
        <v>24</v>
      </c>
      <c r="J75" s="14" t="s">
        <v>370</v>
      </c>
      <c r="K75" s="71" t="s">
        <v>33</v>
      </c>
      <c r="L75" s="71" t="s">
        <v>32</v>
      </c>
      <c r="M75" s="14" t="s">
        <v>53</v>
      </c>
      <c r="N75" s="15">
        <v>25000</v>
      </c>
      <c r="O75" s="16">
        <v>25000</v>
      </c>
      <c r="P75" s="19" t="s">
        <v>872</v>
      </c>
      <c r="Q75" s="407">
        <f t="shared" ref="Q75:Q85" si="3">O75</f>
        <v>25000</v>
      </c>
      <c r="R75" s="408"/>
    </row>
    <row r="76" spans="1:20" ht="130.5">
      <c r="A76" s="21" t="s">
        <v>444</v>
      </c>
      <c r="B76" s="14" t="s">
        <v>247</v>
      </c>
      <c r="C76" s="13">
        <v>51310</v>
      </c>
      <c r="D76" s="14" t="s">
        <v>440</v>
      </c>
      <c r="E76" s="14" t="s">
        <v>441</v>
      </c>
      <c r="F76" s="57" t="s">
        <v>154</v>
      </c>
      <c r="G76" s="14" t="s">
        <v>445</v>
      </c>
      <c r="H76" s="14" t="s">
        <v>446</v>
      </c>
      <c r="I76" s="14" t="s">
        <v>24</v>
      </c>
      <c r="J76" s="14" t="s">
        <v>31</v>
      </c>
      <c r="K76" s="57" t="s">
        <v>32</v>
      </c>
      <c r="L76" s="71" t="s">
        <v>32</v>
      </c>
      <c r="M76" s="14" t="s">
        <v>25</v>
      </c>
      <c r="N76" s="15">
        <v>15000</v>
      </c>
      <c r="O76" s="16">
        <v>15000</v>
      </c>
      <c r="P76" s="19" t="s">
        <v>872</v>
      </c>
      <c r="Q76" s="407">
        <f t="shared" si="3"/>
        <v>15000</v>
      </c>
      <c r="R76" s="408"/>
    </row>
    <row r="77" spans="1:20" ht="409.5">
      <c r="A77" s="21" t="s">
        <v>447</v>
      </c>
      <c r="B77" s="14" t="s">
        <v>256</v>
      </c>
      <c r="C77" s="13">
        <v>51130</v>
      </c>
      <c r="D77" s="14" t="s">
        <v>448</v>
      </c>
      <c r="E77" s="14" t="s">
        <v>449</v>
      </c>
      <c r="F77" s="57" t="s">
        <v>154</v>
      </c>
      <c r="G77" s="14" t="s">
        <v>450</v>
      </c>
      <c r="H77" s="14" t="s">
        <v>451</v>
      </c>
      <c r="I77" s="14" t="s">
        <v>24</v>
      </c>
      <c r="J77" s="14" t="s">
        <v>158</v>
      </c>
      <c r="K77" s="71" t="s">
        <v>33</v>
      </c>
      <c r="L77" s="71" t="s">
        <v>32</v>
      </c>
      <c r="M77" s="14" t="s">
        <v>25</v>
      </c>
      <c r="N77" s="15">
        <v>85000</v>
      </c>
      <c r="O77" s="16"/>
      <c r="P77" s="19"/>
      <c r="Q77" s="407">
        <f t="shared" si="3"/>
        <v>0</v>
      </c>
      <c r="R77" s="408"/>
    </row>
    <row r="78" spans="1:20" ht="106" customHeight="1">
      <c r="A78" s="21" t="s">
        <v>452</v>
      </c>
      <c r="B78" s="14" t="s">
        <v>267</v>
      </c>
      <c r="C78" s="13">
        <v>51111</v>
      </c>
      <c r="D78" s="14" t="s">
        <v>274</v>
      </c>
      <c r="E78" s="14" t="s">
        <v>275</v>
      </c>
      <c r="F78" s="57" t="s">
        <v>154</v>
      </c>
      <c r="G78" s="14" t="s">
        <v>453</v>
      </c>
      <c r="H78" s="14" t="s">
        <v>454</v>
      </c>
      <c r="I78" s="14" t="s">
        <v>24</v>
      </c>
      <c r="J78" s="14" t="s">
        <v>31</v>
      </c>
      <c r="K78" s="71" t="s">
        <v>32</v>
      </c>
      <c r="L78" s="71" t="s">
        <v>33</v>
      </c>
      <c r="M78" s="14" t="s">
        <v>53</v>
      </c>
      <c r="N78" s="15">
        <v>94000</v>
      </c>
      <c r="O78" s="16"/>
      <c r="P78" s="19"/>
      <c r="Q78" s="407">
        <f t="shared" si="3"/>
        <v>0</v>
      </c>
      <c r="R78" s="408"/>
    </row>
    <row r="79" spans="1:20" ht="102" customHeight="1">
      <c r="A79" s="21" t="s">
        <v>455</v>
      </c>
      <c r="B79" s="14" t="s">
        <v>267</v>
      </c>
      <c r="C79" s="13">
        <v>51310</v>
      </c>
      <c r="D79" s="14" t="s">
        <v>274</v>
      </c>
      <c r="E79" s="14" t="s">
        <v>275</v>
      </c>
      <c r="F79" s="57" t="s">
        <v>154</v>
      </c>
      <c r="G79" s="14" t="s">
        <v>456</v>
      </c>
      <c r="H79" s="14" t="s">
        <v>457</v>
      </c>
      <c r="I79" s="14" t="s">
        <v>24</v>
      </c>
      <c r="J79" s="14" t="s">
        <v>31</v>
      </c>
      <c r="K79" s="71" t="s">
        <v>33</v>
      </c>
      <c r="L79" s="71" t="s">
        <v>33</v>
      </c>
      <c r="M79" s="14" t="s">
        <v>220</v>
      </c>
      <c r="N79" s="15">
        <v>5000</v>
      </c>
      <c r="O79" s="16">
        <v>5000</v>
      </c>
      <c r="P79" s="19" t="s">
        <v>872</v>
      </c>
      <c r="Q79" s="407">
        <f t="shared" si="3"/>
        <v>5000</v>
      </c>
      <c r="R79" s="408"/>
    </row>
    <row r="80" spans="1:20" ht="159.5">
      <c r="A80" s="21" t="s">
        <v>458</v>
      </c>
      <c r="B80" s="14" t="s">
        <v>267</v>
      </c>
      <c r="C80" s="13">
        <v>51310</v>
      </c>
      <c r="D80" s="14" t="s">
        <v>268</v>
      </c>
      <c r="E80" s="14" t="s">
        <v>269</v>
      </c>
      <c r="F80" s="57" t="s">
        <v>154</v>
      </c>
      <c r="G80" s="14" t="s">
        <v>459</v>
      </c>
      <c r="H80" s="14" t="s">
        <v>460</v>
      </c>
      <c r="I80" s="14" t="s">
        <v>24</v>
      </c>
      <c r="J80" s="14" t="s">
        <v>31</v>
      </c>
      <c r="K80" s="71" t="s">
        <v>33</v>
      </c>
      <c r="L80" s="71" t="s">
        <v>33</v>
      </c>
      <c r="M80" s="14" t="s">
        <v>220</v>
      </c>
      <c r="N80" s="15">
        <v>10000</v>
      </c>
      <c r="O80" s="16">
        <v>10000</v>
      </c>
      <c r="P80" s="19" t="s">
        <v>872</v>
      </c>
      <c r="Q80" s="407">
        <f t="shared" si="3"/>
        <v>10000</v>
      </c>
      <c r="R80" s="408"/>
    </row>
    <row r="81" spans="1:19" ht="130.5">
      <c r="A81" s="21" t="s">
        <v>461</v>
      </c>
      <c r="B81" s="14" t="s">
        <v>267</v>
      </c>
      <c r="C81" s="13">
        <v>51310</v>
      </c>
      <c r="D81" s="14" t="s">
        <v>279</v>
      </c>
      <c r="E81" s="14" t="s">
        <v>280</v>
      </c>
      <c r="F81" s="57" t="s">
        <v>154</v>
      </c>
      <c r="G81" s="14" t="s">
        <v>462</v>
      </c>
      <c r="H81" s="14" t="s">
        <v>463</v>
      </c>
      <c r="I81" s="14" t="s">
        <v>24</v>
      </c>
      <c r="J81" s="14" t="s">
        <v>31</v>
      </c>
      <c r="K81" s="71" t="s">
        <v>33</v>
      </c>
      <c r="L81" s="71" t="s">
        <v>33</v>
      </c>
      <c r="M81" s="14" t="s">
        <v>220</v>
      </c>
      <c r="N81" s="15">
        <v>20000</v>
      </c>
      <c r="O81" s="16">
        <v>20000</v>
      </c>
      <c r="P81" s="19" t="s">
        <v>872</v>
      </c>
      <c r="Q81" s="407">
        <f t="shared" si="3"/>
        <v>20000</v>
      </c>
      <c r="R81" s="408"/>
    </row>
    <row r="82" spans="1:19" ht="130.5">
      <c r="A82" s="21" t="s">
        <v>464</v>
      </c>
      <c r="B82" s="14" t="s">
        <v>267</v>
      </c>
      <c r="C82" s="13">
        <v>51111</v>
      </c>
      <c r="D82" s="14" t="s">
        <v>268</v>
      </c>
      <c r="E82" s="14" t="s">
        <v>269</v>
      </c>
      <c r="F82" s="57" t="s">
        <v>154</v>
      </c>
      <c r="G82" s="14" t="s">
        <v>465</v>
      </c>
      <c r="H82" s="14" t="s">
        <v>466</v>
      </c>
      <c r="I82" s="14" t="s">
        <v>24</v>
      </c>
      <c r="J82" s="14" t="s">
        <v>31</v>
      </c>
      <c r="K82" s="71" t="s">
        <v>32</v>
      </c>
      <c r="L82" s="71" t="s">
        <v>33</v>
      </c>
      <c r="M82" s="14" t="s">
        <v>64</v>
      </c>
      <c r="N82" s="15">
        <v>94000</v>
      </c>
      <c r="O82" s="16"/>
      <c r="P82" s="19"/>
      <c r="Q82" s="407">
        <f t="shared" si="3"/>
        <v>0</v>
      </c>
      <c r="R82" s="408"/>
    </row>
    <row r="83" spans="1:19" ht="143.5" customHeight="1">
      <c r="A83" s="21" t="s">
        <v>467</v>
      </c>
      <c r="B83" s="14" t="s">
        <v>267</v>
      </c>
      <c r="C83" s="13">
        <v>51310</v>
      </c>
      <c r="D83" s="14" t="s">
        <v>274</v>
      </c>
      <c r="E83" s="14" t="s">
        <v>275</v>
      </c>
      <c r="F83" s="57" t="s">
        <v>154</v>
      </c>
      <c r="G83" s="14" t="s">
        <v>468</v>
      </c>
      <c r="H83" s="14" t="s">
        <v>469</v>
      </c>
      <c r="I83" s="14" t="s">
        <v>24</v>
      </c>
      <c r="J83" s="14" t="s">
        <v>113</v>
      </c>
      <c r="K83" s="71" t="s">
        <v>33</v>
      </c>
      <c r="L83" s="71" t="s">
        <v>33</v>
      </c>
      <c r="M83" s="14" t="s">
        <v>220</v>
      </c>
      <c r="N83" s="15">
        <v>25000</v>
      </c>
      <c r="O83" s="16"/>
      <c r="P83" s="19"/>
      <c r="Q83" s="407">
        <f t="shared" si="3"/>
        <v>0</v>
      </c>
      <c r="R83" s="408"/>
    </row>
    <row r="84" spans="1:19" ht="43.5">
      <c r="A84" s="21" t="s">
        <v>34</v>
      </c>
      <c r="B84" s="14" t="s">
        <v>267</v>
      </c>
      <c r="C84" s="13"/>
      <c r="D84" s="14" t="s">
        <v>167</v>
      </c>
      <c r="E84" s="14" t="s">
        <v>168</v>
      </c>
      <c r="F84" s="57" t="s">
        <v>154</v>
      </c>
      <c r="G84" s="14" t="s">
        <v>882</v>
      </c>
      <c r="H84" s="14" t="s">
        <v>883</v>
      </c>
      <c r="I84" s="14" t="s">
        <v>63</v>
      </c>
      <c r="J84" s="14" t="s">
        <v>884</v>
      </c>
      <c r="K84" s="71"/>
      <c r="L84" s="71"/>
      <c r="M84" s="14"/>
      <c r="N84" s="15">
        <v>10000</v>
      </c>
      <c r="O84" s="16">
        <f>N84</f>
        <v>10000</v>
      </c>
      <c r="P84" s="19"/>
      <c r="Q84" s="407">
        <f t="shared" si="3"/>
        <v>10000</v>
      </c>
      <c r="R84" s="408"/>
      <c r="S84" s="118"/>
    </row>
    <row r="85" spans="1:19" ht="43.5">
      <c r="A85" s="21" t="s">
        <v>971</v>
      </c>
      <c r="B85" s="14" t="s">
        <v>166</v>
      </c>
      <c r="C85" s="13"/>
      <c r="D85" s="14" t="s">
        <v>167</v>
      </c>
      <c r="E85" s="14" t="s">
        <v>168</v>
      </c>
      <c r="F85" s="57" t="s">
        <v>154</v>
      </c>
      <c r="G85" s="14" t="s">
        <v>885</v>
      </c>
      <c r="H85" s="14" t="s">
        <v>886</v>
      </c>
      <c r="I85" s="14" t="s">
        <v>63</v>
      </c>
      <c r="J85" s="14" t="s">
        <v>884</v>
      </c>
      <c r="K85" s="71"/>
      <c r="L85" s="71"/>
      <c r="M85" s="14"/>
      <c r="N85" s="15">
        <v>27000</v>
      </c>
      <c r="O85" s="16"/>
      <c r="P85" s="19"/>
      <c r="Q85" s="407">
        <f t="shared" si="3"/>
        <v>0</v>
      </c>
      <c r="R85" s="408"/>
    </row>
    <row r="86" spans="1:19" ht="27.65" customHeight="1">
      <c r="A86" s="282"/>
      <c r="B86" s="283"/>
      <c r="C86" s="284"/>
      <c r="D86" s="283"/>
      <c r="E86" s="283"/>
      <c r="F86" s="337"/>
      <c r="G86" s="283"/>
      <c r="H86" s="283"/>
      <c r="I86" s="283"/>
      <c r="J86" s="283"/>
      <c r="K86" s="346"/>
      <c r="L86" s="346" t="s">
        <v>102</v>
      </c>
      <c r="M86" s="283"/>
      <c r="N86" s="285">
        <f>SUM(N10:N85)</f>
        <v>1972773</v>
      </c>
      <c r="O86" s="286">
        <f>SUM(O10:O85)</f>
        <v>736674</v>
      </c>
      <c r="P86" s="287"/>
      <c r="Q86" s="411">
        <f>SUM(Q10:Q85)</f>
        <v>736674</v>
      </c>
      <c r="R86" s="412"/>
    </row>
    <row r="87" spans="1:19">
      <c r="P87" s="317"/>
      <c r="R87" s="317"/>
    </row>
    <row r="88" spans="1:19">
      <c r="P88" s="317"/>
      <c r="R88" s="317"/>
    </row>
    <row r="89" spans="1:19">
      <c r="P89" s="317"/>
      <c r="R89" s="317"/>
    </row>
    <row r="90" spans="1:19">
      <c r="P90" s="317"/>
      <c r="R90" s="317"/>
    </row>
    <row r="91" spans="1:19">
      <c r="P91" s="317"/>
      <c r="R91" s="317"/>
    </row>
    <row r="92" spans="1:19">
      <c r="P92" s="317"/>
      <c r="R92" s="317"/>
    </row>
    <row r="93" spans="1:19">
      <c r="P93" s="317"/>
      <c r="R93" s="317"/>
    </row>
    <row r="94" spans="1:19">
      <c r="P94" s="317"/>
      <c r="R94" s="317"/>
    </row>
    <row r="95" spans="1:19">
      <c r="P95" s="317"/>
      <c r="R95" s="317"/>
    </row>
    <row r="96" spans="1:19">
      <c r="P96" s="317"/>
      <c r="R96" s="317"/>
    </row>
    <row r="97" spans="16:18">
      <c r="P97" s="317"/>
      <c r="R97" s="317"/>
    </row>
    <row r="98" spans="16:18">
      <c r="P98" s="317"/>
      <c r="R98" s="317"/>
    </row>
  </sheetData>
  <pageMargins left="0.25" right="0.25" top="0.75" bottom="0.75" header="0.3" footer="0.3"/>
  <pageSetup paperSize="5" scale="63" fitToHeight="0"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4"/>
  <sheetViews>
    <sheetView zoomScale="80" zoomScaleNormal="80" workbookViewId="0"/>
  </sheetViews>
  <sheetFormatPr defaultRowHeight="14.5"/>
  <cols>
    <col min="1" max="1" width="9.1796875" style="35"/>
    <col min="2" max="2" width="13.453125" style="2" customWidth="1"/>
    <col min="3" max="3" width="9.1796875" customWidth="1"/>
    <col min="4" max="4" width="18.54296875" style="2" customWidth="1"/>
    <col min="5" max="5" width="15.54296875" style="2" customWidth="1"/>
    <col min="6" max="6" width="9.26953125" style="38" hidden="1" customWidth="1"/>
    <col min="7" max="7" width="17.54296875" style="2" customWidth="1"/>
    <col min="8" max="8" width="74" style="2" customWidth="1"/>
    <col min="9" max="9" width="15.81640625" style="2" hidden="1" customWidth="1"/>
    <col min="10" max="10" width="16.7265625" style="2" hidden="1" customWidth="1"/>
    <col min="11" max="11" width="9.54296875" style="36" hidden="1" customWidth="1"/>
    <col min="12" max="12" width="10.54296875" style="36" hidden="1" customWidth="1"/>
    <col min="13" max="13" width="12.1796875" style="2" hidden="1" customWidth="1"/>
    <col min="14" max="14" width="11.54296875" customWidth="1"/>
    <col min="15" max="15" width="13.1796875" customWidth="1"/>
    <col min="16" max="16" width="12" style="38" customWidth="1"/>
    <col min="17" max="17" width="14.1796875" customWidth="1"/>
    <col min="18" max="18" width="19.54296875" style="38" customWidth="1"/>
    <col min="19" max="19" width="11.453125" customWidth="1"/>
    <col min="20" max="20" width="10.7265625" bestFit="1" customWidth="1"/>
  </cols>
  <sheetData>
    <row r="1" spans="1:38" ht="28.15" customHeight="1" thickBot="1">
      <c r="A1" s="1" t="s">
        <v>0</v>
      </c>
    </row>
    <row r="2" spans="1:38" s="7" customFormat="1" ht="43.5">
      <c r="A2" s="46" t="s">
        <v>1</v>
      </c>
      <c r="B2" s="4" t="s">
        <v>2</v>
      </c>
      <c r="C2" s="5" t="s">
        <v>3</v>
      </c>
      <c r="D2" s="4" t="s">
        <v>4</v>
      </c>
      <c r="E2" s="4" t="s">
        <v>5</v>
      </c>
      <c r="F2" s="6" t="s">
        <v>6</v>
      </c>
      <c r="G2" s="4" t="s">
        <v>7</v>
      </c>
      <c r="H2" s="4" t="s">
        <v>8</v>
      </c>
      <c r="I2" s="4" t="s">
        <v>9</v>
      </c>
      <c r="J2" s="4" t="s">
        <v>10</v>
      </c>
      <c r="K2" s="6" t="s">
        <v>11</v>
      </c>
      <c r="L2" s="6" t="s">
        <v>12</v>
      </c>
      <c r="M2" s="4" t="s">
        <v>13</v>
      </c>
      <c r="N2" s="4" t="s">
        <v>14</v>
      </c>
      <c r="O2" s="39" t="s">
        <v>1011</v>
      </c>
      <c r="P2" s="47" t="s">
        <v>105</v>
      </c>
      <c r="Q2" s="429" t="s">
        <v>1012</v>
      </c>
      <c r="R2" s="430" t="s">
        <v>105</v>
      </c>
      <c r="S2"/>
      <c r="T2"/>
      <c r="U2"/>
      <c r="V2"/>
      <c r="W2"/>
      <c r="X2"/>
      <c r="Y2"/>
      <c r="Z2"/>
      <c r="AA2"/>
      <c r="AB2"/>
      <c r="AC2"/>
      <c r="AD2"/>
      <c r="AE2"/>
      <c r="AF2"/>
      <c r="AG2"/>
      <c r="AH2"/>
      <c r="AI2"/>
      <c r="AJ2"/>
      <c r="AK2"/>
      <c r="AL2"/>
    </row>
    <row r="3" spans="1:38" s="33" customFormat="1" ht="217.5">
      <c r="A3" s="28" t="s">
        <v>48</v>
      </c>
      <c r="B3" s="30" t="s">
        <v>49</v>
      </c>
      <c r="C3" s="29">
        <v>51230</v>
      </c>
      <c r="D3" s="30" t="s">
        <v>50</v>
      </c>
      <c r="E3" s="30" t="s">
        <v>51</v>
      </c>
      <c r="F3" s="338" t="s">
        <v>21</v>
      </c>
      <c r="G3" s="30" t="s">
        <v>52</v>
      </c>
      <c r="H3" s="30" t="s">
        <v>1014</v>
      </c>
      <c r="I3" s="30" t="s">
        <v>24</v>
      </c>
      <c r="J3" s="30" t="s">
        <v>31</v>
      </c>
      <c r="K3" s="341" t="s">
        <v>32</v>
      </c>
      <c r="L3" s="341" t="s">
        <v>32</v>
      </c>
      <c r="M3" s="30" t="s">
        <v>53</v>
      </c>
      <c r="N3" s="31">
        <v>55096</v>
      </c>
      <c r="O3" s="32">
        <f t="shared" ref="O3:O10" si="0">N3</f>
        <v>55096</v>
      </c>
      <c r="P3" s="48"/>
      <c r="Q3" s="419">
        <f>O3</f>
        <v>55096</v>
      </c>
      <c r="R3" s="420"/>
      <c r="S3"/>
      <c r="T3"/>
      <c r="U3"/>
      <c r="V3"/>
      <c r="W3"/>
      <c r="X3"/>
      <c r="Y3"/>
      <c r="Z3"/>
      <c r="AA3"/>
      <c r="AB3"/>
      <c r="AC3"/>
      <c r="AD3"/>
      <c r="AE3"/>
      <c r="AF3"/>
      <c r="AG3"/>
      <c r="AH3"/>
      <c r="AI3"/>
      <c r="AJ3"/>
      <c r="AK3"/>
      <c r="AL3"/>
    </row>
    <row r="4" spans="1:38" s="33" customFormat="1" ht="130.5">
      <c r="A4" s="28" t="s">
        <v>54</v>
      </c>
      <c r="B4" s="30" t="s">
        <v>41</v>
      </c>
      <c r="C4" s="29">
        <v>53550</v>
      </c>
      <c r="D4" s="30" t="s">
        <v>42</v>
      </c>
      <c r="E4" s="30" t="s">
        <v>43</v>
      </c>
      <c r="F4" s="338" t="s">
        <v>21</v>
      </c>
      <c r="G4" s="30" t="s">
        <v>55</v>
      </c>
      <c r="H4" s="30" t="s">
        <v>1042</v>
      </c>
      <c r="I4" s="30" t="s">
        <v>24</v>
      </c>
      <c r="J4" s="30" t="s">
        <v>31</v>
      </c>
      <c r="K4" s="341" t="s">
        <v>32</v>
      </c>
      <c r="L4" s="341" t="s">
        <v>33</v>
      </c>
      <c r="M4" s="30" t="s">
        <v>56</v>
      </c>
      <c r="N4" s="31">
        <v>23000</v>
      </c>
      <c r="O4" s="32">
        <f t="shared" si="0"/>
        <v>23000</v>
      </c>
      <c r="P4" s="48"/>
      <c r="Q4" s="419">
        <f t="shared" ref="Q4:Q19" si="1">O4</f>
        <v>23000</v>
      </c>
      <c r="R4" s="420"/>
      <c r="S4"/>
      <c r="U4"/>
      <c r="V4"/>
      <c r="W4"/>
      <c r="X4"/>
      <c r="Y4"/>
      <c r="Z4"/>
      <c r="AA4"/>
      <c r="AB4"/>
      <c r="AC4"/>
      <c r="AD4"/>
      <c r="AE4"/>
      <c r="AF4"/>
      <c r="AG4"/>
      <c r="AH4"/>
      <c r="AI4"/>
      <c r="AJ4"/>
      <c r="AK4"/>
      <c r="AL4"/>
    </row>
    <row r="5" spans="1:38" s="33" customFormat="1" ht="130.5">
      <c r="A5" s="28" t="s">
        <v>57</v>
      </c>
      <c r="B5" s="30" t="s">
        <v>41</v>
      </c>
      <c r="C5" s="29">
        <v>53220</v>
      </c>
      <c r="D5" s="30" t="s">
        <v>42</v>
      </c>
      <c r="E5" s="30" t="s">
        <v>43</v>
      </c>
      <c r="F5" s="338" t="s">
        <v>21</v>
      </c>
      <c r="G5" s="30" t="s">
        <v>58</v>
      </c>
      <c r="H5" s="30" t="s">
        <v>1015</v>
      </c>
      <c r="I5" s="30" t="s">
        <v>63</v>
      </c>
      <c r="J5" s="30" t="s">
        <v>31</v>
      </c>
      <c r="K5" s="341" t="s">
        <v>33</v>
      </c>
      <c r="L5" s="341" t="s">
        <v>33</v>
      </c>
      <c r="M5" s="30" t="s">
        <v>45</v>
      </c>
      <c r="N5" s="31">
        <v>26565</v>
      </c>
      <c r="O5" s="32">
        <f t="shared" si="0"/>
        <v>26565</v>
      </c>
      <c r="P5" s="48"/>
      <c r="Q5" s="419">
        <f t="shared" si="1"/>
        <v>26565</v>
      </c>
      <c r="R5" s="420"/>
      <c r="S5"/>
      <c r="U5"/>
      <c r="V5"/>
      <c r="W5"/>
      <c r="X5"/>
      <c r="Y5"/>
      <c r="Z5"/>
      <c r="AA5"/>
      <c r="AB5"/>
      <c r="AC5"/>
      <c r="AD5"/>
      <c r="AE5"/>
      <c r="AF5"/>
      <c r="AG5"/>
      <c r="AH5"/>
      <c r="AI5"/>
      <c r="AJ5"/>
      <c r="AK5"/>
      <c r="AL5"/>
    </row>
    <row r="6" spans="1:38" s="33" customFormat="1" ht="130.5">
      <c r="A6" s="28" t="s">
        <v>59</v>
      </c>
      <c r="B6" s="30" t="s">
        <v>41</v>
      </c>
      <c r="C6" s="29">
        <v>53210</v>
      </c>
      <c r="D6" s="30" t="s">
        <v>42</v>
      </c>
      <c r="E6" s="30" t="s">
        <v>43</v>
      </c>
      <c r="F6" s="338" t="s">
        <v>60</v>
      </c>
      <c r="G6" s="30" t="s">
        <v>61</v>
      </c>
      <c r="H6" s="30" t="s">
        <v>62</v>
      </c>
      <c r="I6" s="30" t="s">
        <v>63</v>
      </c>
      <c r="J6" s="30" t="s">
        <v>31</v>
      </c>
      <c r="K6" s="341" t="s">
        <v>33</v>
      </c>
      <c r="L6" s="341" t="s">
        <v>32</v>
      </c>
      <c r="M6" s="30" t="s">
        <v>64</v>
      </c>
      <c r="N6" s="31">
        <v>6000</v>
      </c>
      <c r="O6" s="32">
        <f t="shared" si="0"/>
        <v>6000</v>
      </c>
      <c r="P6" s="48"/>
      <c r="Q6" s="419">
        <f t="shared" si="1"/>
        <v>6000</v>
      </c>
      <c r="R6" s="420"/>
      <c r="S6"/>
      <c r="T6"/>
      <c r="U6"/>
      <c r="V6"/>
      <c r="W6"/>
      <c r="X6"/>
      <c r="Y6"/>
      <c r="Z6"/>
      <c r="AA6"/>
      <c r="AB6"/>
      <c r="AC6"/>
      <c r="AD6"/>
      <c r="AE6"/>
      <c r="AF6"/>
      <c r="AG6"/>
      <c r="AH6"/>
      <c r="AI6"/>
      <c r="AJ6"/>
      <c r="AK6"/>
      <c r="AL6"/>
    </row>
    <row r="7" spans="1:38" s="33" customFormat="1" ht="130.5">
      <c r="A7" s="21" t="s">
        <v>40</v>
      </c>
      <c r="B7" s="14" t="s">
        <v>41</v>
      </c>
      <c r="C7" s="13">
        <v>51310</v>
      </c>
      <c r="D7" s="14" t="s">
        <v>42</v>
      </c>
      <c r="E7" s="14" t="s">
        <v>43</v>
      </c>
      <c r="F7" s="57" t="s">
        <v>21</v>
      </c>
      <c r="G7" s="14" t="s">
        <v>44</v>
      </c>
      <c r="H7" s="14" t="s">
        <v>1016</v>
      </c>
      <c r="I7" s="14" t="s">
        <v>24</v>
      </c>
      <c r="J7" s="14" t="s">
        <v>31</v>
      </c>
      <c r="K7" s="71" t="s">
        <v>33</v>
      </c>
      <c r="L7" s="71" t="s">
        <v>32</v>
      </c>
      <c r="M7" s="14" t="s">
        <v>45</v>
      </c>
      <c r="N7" s="15">
        <v>21700</v>
      </c>
      <c r="O7" s="16">
        <f t="shared" si="0"/>
        <v>21700</v>
      </c>
      <c r="P7" s="42"/>
      <c r="Q7" s="419">
        <f t="shared" si="1"/>
        <v>21700</v>
      </c>
      <c r="R7" s="420"/>
      <c r="S7"/>
      <c r="T7"/>
      <c r="U7"/>
      <c r="V7"/>
      <c r="W7"/>
      <c r="X7"/>
      <c r="Y7"/>
      <c r="Z7"/>
      <c r="AA7"/>
      <c r="AB7"/>
      <c r="AC7"/>
      <c r="AD7"/>
      <c r="AE7"/>
      <c r="AF7"/>
      <c r="AG7"/>
      <c r="AH7"/>
      <c r="AI7"/>
      <c r="AJ7"/>
      <c r="AK7"/>
      <c r="AL7"/>
    </row>
    <row r="8" spans="1:38" s="33" customFormat="1" ht="130.5">
      <c r="A8" s="21" t="s">
        <v>46</v>
      </c>
      <c r="B8" s="14" t="s">
        <v>41</v>
      </c>
      <c r="C8" s="13">
        <v>51310</v>
      </c>
      <c r="D8" s="14" t="s">
        <v>42</v>
      </c>
      <c r="E8" s="14" t="s">
        <v>43</v>
      </c>
      <c r="F8" s="57" t="s">
        <v>21</v>
      </c>
      <c r="G8" s="14" t="s">
        <v>47</v>
      </c>
      <c r="H8" s="14" t="s">
        <v>1017</v>
      </c>
      <c r="I8" s="14" t="s">
        <v>24</v>
      </c>
      <c r="J8" s="14" t="s">
        <v>31</v>
      </c>
      <c r="K8" s="71" t="s">
        <v>33</v>
      </c>
      <c r="L8" s="71" t="s">
        <v>32</v>
      </c>
      <c r="M8" s="14" t="s">
        <v>25</v>
      </c>
      <c r="N8" s="15">
        <v>19500</v>
      </c>
      <c r="O8" s="16">
        <f t="shared" si="0"/>
        <v>19500</v>
      </c>
      <c r="P8" s="42"/>
      <c r="Q8" s="419">
        <f t="shared" si="1"/>
        <v>19500</v>
      </c>
      <c r="R8" s="420"/>
      <c r="S8"/>
      <c r="T8"/>
      <c r="U8"/>
      <c r="V8"/>
      <c r="W8"/>
      <c r="X8"/>
      <c r="Y8"/>
      <c r="Z8"/>
      <c r="AA8"/>
      <c r="AB8"/>
      <c r="AC8"/>
      <c r="AD8"/>
      <c r="AE8"/>
      <c r="AF8"/>
      <c r="AG8"/>
      <c r="AH8"/>
      <c r="AI8"/>
      <c r="AJ8"/>
      <c r="AK8"/>
      <c r="AL8"/>
    </row>
    <row r="9" spans="1:38" s="33" customFormat="1" ht="103.9" customHeight="1">
      <c r="A9" s="43" t="s">
        <v>34</v>
      </c>
      <c r="B9" s="14" t="s">
        <v>35</v>
      </c>
      <c r="C9" s="14">
        <v>51230</v>
      </c>
      <c r="D9" s="14" t="s">
        <v>36</v>
      </c>
      <c r="E9" s="14" t="s">
        <v>37</v>
      </c>
      <c r="F9" s="57" t="s">
        <v>21</v>
      </c>
      <c r="G9" s="14" t="s">
        <v>38</v>
      </c>
      <c r="H9" s="14" t="s">
        <v>1018</v>
      </c>
      <c r="I9" s="14" t="s">
        <v>24</v>
      </c>
      <c r="J9" s="14" t="s">
        <v>31</v>
      </c>
      <c r="K9" s="57" t="s">
        <v>39</v>
      </c>
      <c r="L9" s="57" t="s">
        <v>33</v>
      </c>
      <c r="M9" s="14" t="s">
        <v>25</v>
      </c>
      <c r="N9" s="18">
        <v>59672</v>
      </c>
      <c r="O9" s="45">
        <f t="shared" si="0"/>
        <v>59672</v>
      </c>
      <c r="P9" s="42"/>
      <c r="Q9" s="467">
        <f t="shared" si="1"/>
        <v>59672</v>
      </c>
      <c r="R9" s="420"/>
      <c r="S9"/>
      <c r="T9"/>
      <c r="U9"/>
      <c r="V9"/>
      <c r="W9"/>
      <c r="X9"/>
      <c r="Y9"/>
      <c r="Z9"/>
      <c r="AA9"/>
      <c r="AB9"/>
      <c r="AC9"/>
      <c r="AD9"/>
      <c r="AE9"/>
      <c r="AF9"/>
      <c r="AG9"/>
      <c r="AH9"/>
      <c r="AI9"/>
      <c r="AJ9"/>
      <c r="AK9"/>
      <c r="AL9"/>
    </row>
    <row r="10" spans="1:38" s="34" customFormat="1" ht="103.5" customHeight="1">
      <c r="A10" s="12"/>
      <c r="B10" s="14" t="s">
        <v>18</v>
      </c>
      <c r="C10" s="13">
        <v>51310</v>
      </c>
      <c r="D10" s="14" t="s">
        <v>19</v>
      </c>
      <c r="E10" s="14" t="s">
        <v>20</v>
      </c>
      <c r="F10" s="57" t="s">
        <v>21</v>
      </c>
      <c r="G10" s="14" t="s">
        <v>22</v>
      </c>
      <c r="H10" s="14" t="s">
        <v>23</v>
      </c>
      <c r="I10" s="14" t="s">
        <v>24</v>
      </c>
      <c r="J10" s="44"/>
      <c r="K10" s="71"/>
      <c r="L10" s="71"/>
      <c r="M10" s="14" t="s">
        <v>25</v>
      </c>
      <c r="N10" s="15">
        <v>17000</v>
      </c>
      <c r="O10" s="16">
        <f t="shared" si="0"/>
        <v>17000</v>
      </c>
      <c r="P10" s="42"/>
      <c r="Q10" s="419">
        <f t="shared" si="1"/>
        <v>17000</v>
      </c>
      <c r="R10" s="420"/>
      <c r="S10"/>
      <c r="T10"/>
      <c r="U10"/>
      <c r="V10"/>
      <c r="W10"/>
      <c r="X10"/>
      <c r="Y10"/>
      <c r="Z10"/>
      <c r="AA10"/>
      <c r="AB10"/>
      <c r="AC10"/>
      <c r="AD10"/>
      <c r="AE10"/>
      <c r="AF10"/>
      <c r="AG10"/>
      <c r="AH10"/>
      <c r="AI10"/>
      <c r="AJ10"/>
      <c r="AK10"/>
      <c r="AL10"/>
    </row>
    <row r="11" spans="1:38" s="34" customFormat="1" ht="333.5">
      <c r="A11" s="17" t="s">
        <v>26</v>
      </c>
      <c r="B11" s="14" t="s">
        <v>27</v>
      </c>
      <c r="C11" s="13">
        <v>59120</v>
      </c>
      <c r="D11" s="14" t="s">
        <v>28</v>
      </c>
      <c r="E11" s="14" t="s">
        <v>29</v>
      </c>
      <c r="F11" s="57" t="s">
        <v>21</v>
      </c>
      <c r="G11" s="14" t="s">
        <v>30</v>
      </c>
      <c r="H11" s="14" t="s">
        <v>1047</v>
      </c>
      <c r="I11" s="14" t="s">
        <v>1057</v>
      </c>
      <c r="J11" s="14" t="s">
        <v>31</v>
      </c>
      <c r="K11" s="71" t="s">
        <v>32</v>
      </c>
      <c r="L11" s="71" t="s">
        <v>33</v>
      </c>
      <c r="M11" s="14" t="s">
        <v>25</v>
      </c>
      <c r="N11" s="15">
        <v>46900</v>
      </c>
      <c r="O11" s="16">
        <v>8812</v>
      </c>
      <c r="P11" s="42" t="s">
        <v>1043</v>
      </c>
      <c r="Q11" s="419">
        <f t="shared" si="1"/>
        <v>8812</v>
      </c>
      <c r="R11" s="420" t="str">
        <f>P11</f>
        <v>additional $38,088 covred with Fund 230</v>
      </c>
      <c r="S11"/>
      <c r="T11"/>
      <c r="U11"/>
      <c r="V11"/>
      <c r="W11"/>
      <c r="X11"/>
      <c r="Y11"/>
      <c r="Z11"/>
      <c r="AA11"/>
      <c r="AB11"/>
      <c r="AC11"/>
      <c r="AD11"/>
      <c r="AE11"/>
      <c r="AF11"/>
      <c r="AG11"/>
      <c r="AH11"/>
      <c r="AI11"/>
      <c r="AJ11"/>
      <c r="AK11"/>
      <c r="AL11"/>
    </row>
    <row r="12" spans="1:38" ht="130.5">
      <c r="A12" s="421" t="s">
        <v>66</v>
      </c>
      <c r="B12" s="422" t="s">
        <v>49</v>
      </c>
      <c r="C12" s="423">
        <v>53550</v>
      </c>
      <c r="D12" s="422" t="s">
        <v>50</v>
      </c>
      <c r="E12" s="422" t="s">
        <v>51</v>
      </c>
      <c r="F12" s="424" t="s">
        <v>21</v>
      </c>
      <c r="G12" s="422" t="s">
        <v>67</v>
      </c>
      <c r="H12" s="422" t="s">
        <v>68</v>
      </c>
      <c r="I12" s="422" t="s">
        <v>63</v>
      </c>
      <c r="J12" s="422" t="s">
        <v>31</v>
      </c>
      <c r="K12" s="425" t="s">
        <v>32</v>
      </c>
      <c r="L12" s="425" t="s">
        <v>33</v>
      </c>
      <c r="M12" s="422" t="s">
        <v>53</v>
      </c>
      <c r="N12" s="426">
        <v>5000</v>
      </c>
      <c r="O12" s="427"/>
      <c r="P12" s="428" t="s">
        <v>104</v>
      </c>
      <c r="Q12" s="419">
        <f t="shared" si="1"/>
        <v>0</v>
      </c>
      <c r="R12" s="420" t="str">
        <f>P12</f>
        <v>Fund 230</v>
      </c>
    </row>
    <row r="13" spans="1:38" s="22" customFormat="1" ht="145">
      <c r="A13" s="421" t="s">
        <v>75</v>
      </c>
      <c r="B13" s="422" t="s">
        <v>76</v>
      </c>
      <c r="C13" s="423">
        <v>51230</v>
      </c>
      <c r="D13" s="422" t="s">
        <v>77</v>
      </c>
      <c r="E13" s="422" t="s">
        <v>78</v>
      </c>
      <c r="F13" s="424" t="s">
        <v>21</v>
      </c>
      <c r="G13" s="422" t="s">
        <v>79</v>
      </c>
      <c r="H13" s="422" t="s">
        <v>1020</v>
      </c>
      <c r="I13" s="422" t="s">
        <v>24</v>
      </c>
      <c r="J13" s="422" t="s">
        <v>31</v>
      </c>
      <c r="K13" s="425" t="s">
        <v>33</v>
      </c>
      <c r="L13" s="425" t="s">
        <v>33</v>
      </c>
      <c r="M13" s="422" t="s">
        <v>53</v>
      </c>
      <c r="N13" s="426">
        <v>57026</v>
      </c>
      <c r="O13" s="427"/>
      <c r="P13" s="428" t="s">
        <v>104</v>
      </c>
      <c r="Q13" s="419">
        <f t="shared" si="1"/>
        <v>0</v>
      </c>
      <c r="R13" s="420" t="str">
        <f>P13</f>
        <v>Fund 230</v>
      </c>
      <c r="S13"/>
      <c r="T13"/>
      <c r="U13"/>
      <c r="V13"/>
      <c r="W13"/>
      <c r="X13"/>
      <c r="Y13"/>
      <c r="Z13"/>
      <c r="AA13"/>
      <c r="AB13"/>
      <c r="AC13"/>
      <c r="AD13"/>
      <c r="AE13"/>
      <c r="AF13"/>
      <c r="AG13"/>
      <c r="AH13"/>
      <c r="AI13"/>
      <c r="AJ13"/>
      <c r="AK13"/>
      <c r="AL13"/>
    </row>
    <row r="14" spans="1:38" s="22" customFormat="1" ht="405.75" customHeight="1">
      <c r="A14" s="421" t="s">
        <v>80</v>
      </c>
      <c r="B14" s="422" t="s">
        <v>76</v>
      </c>
      <c r="C14" s="423">
        <v>51230</v>
      </c>
      <c r="D14" s="422" t="s">
        <v>77</v>
      </c>
      <c r="E14" s="422" t="s">
        <v>78</v>
      </c>
      <c r="F14" s="424" t="s">
        <v>21</v>
      </c>
      <c r="G14" s="422" t="s">
        <v>81</v>
      </c>
      <c r="H14" s="422" t="s">
        <v>1019</v>
      </c>
      <c r="I14" s="422" t="s">
        <v>24</v>
      </c>
      <c r="J14" s="422" t="s">
        <v>31</v>
      </c>
      <c r="K14" s="425" t="s">
        <v>33</v>
      </c>
      <c r="L14" s="425" t="s">
        <v>32</v>
      </c>
      <c r="M14" s="422" t="s">
        <v>53</v>
      </c>
      <c r="N14" s="426">
        <v>99618</v>
      </c>
      <c r="O14" s="427"/>
      <c r="P14" s="428" t="s">
        <v>104</v>
      </c>
      <c r="Q14" s="419">
        <f t="shared" si="1"/>
        <v>0</v>
      </c>
      <c r="R14" s="420" t="str">
        <f>P14</f>
        <v>Fund 230</v>
      </c>
      <c r="S14"/>
      <c r="T14"/>
      <c r="U14"/>
      <c r="V14"/>
      <c r="W14"/>
      <c r="X14"/>
      <c r="Y14"/>
      <c r="Z14"/>
      <c r="AA14"/>
      <c r="AB14"/>
      <c r="AC14"/>
      <c r="AD14"/>
      <c r="AE14"/>
      <c r="AF14"/>
      <c r="AG14"/>
      <c r="AH14"/>
      <c r="AI14"/>
      <c r="AJ14"/>
      <c r="AK14"/>
      <c r="AL14"/>
    </row>
    <row r="15" spans="1:38" s="27" customFormat="1" ht="246.5">
      <c r="A15" s="421" t="s">
        <v>82</v>
      </c>
      <c r="B15" s="422" t="s">
        <v>83</v>
      </c>
      <c r="C15" s="423">
        <v>51220</v>
      </c>
      <c r="D15" s="422" t="s">
        <v>84</v>
      </c>
      <c r="E15" s="422" t="s">
        <v>85</v>
      </c>
      <c r="F15" s="424" t="s">
        <v>21</v>
      </c>
      <c r="G15" s="422" t="s">
        <v>86</v>
      </c>
      <c r="H15" s="422" t="s">
        <v>1046</v>
      </c>
      <c r="I15" s="422" t="s">
        <v>24</v>
      </c>
      <c r="J15" s="422" t="s">
        <v>31</v>
      </c>
      <c r="K15" s="425" t="s">
        <v>33</v>
      </c>
      <c r="L15" s="425" t="s">
        <v>33</v>
      </c>
      <c r="M15" s="422" t="s">
        <v>25</v>
      </c>
      <c r="N15" s="426">
        <v>141097</v>
      </c>
      <c r="O15" s="427"/>
      <c r="P15" s="428" t="s">
        <v>1044</v>
      </c>
      <c r="Q15" s="419">
        <f t="shared" si="1"/>
        <v>0</v>
      </c>
      <c r="R15" s="420"/>
      <c r="S15"/>
      <c r="T15"/>
      <c r="U15"/>
      <c r="V15"/>
      <c r="W15"/>
      <c r="X15"/>
      <c r="Y15"/>
      <c r="Z15"/>
      <c r="AA15"/>
      <c r="AB15"/>
      <c r="AC15"/>
      <c r="AD15"/>
      <c r="AE15"/>
      <c r="AF15"/>
      <c r="AG15"/>
      <c r="AH15"/>
      <c r="AI15"/>
      <c r="AJ15"/>
      <c r="AK15"/>
      <c r="AL15"/>
    </row>
    <row r="16" spans="1:38" ht="159.5">
      <c r="A16" s="28" t="s">
        <v>69</v>
      </c>
      <c r="B16" s="30" t="s">
        <v>70</v>
      </c>
      <c r="C16" s="29">
        <v>54100</v>
      </c>
      <c r="D16" s="30" t="s">
        <v>71</v>
      </c>
      <c r="E16" s="30" t="s">
        <v>72</v>
      </c>
      <c r="F16" s="338" t="s">
        <v>21</v>
      </c>
      <c r="G16" s="30" t="s">
        <v>73</v>
      </c>
      <c r="H16" s="30" t="s">
        <v>74</v>
      </c>
      <c r="I16" s="30" t="s">
        <v>63</v>
      </c>
      <c r="J16" s="30" t="s">
        <v>31</v>
      </c>
      <c r="K16" s="341" t="s">
        <v>32</v>
      </c>
      <c r="L16" s="341" t="s">
        <v>32</v>
      </c>
      <c r="M16" s="30" t="s">
        <v>25</v>
      </c>
      <c r="N16" s="31">
        <v>5000</v>
      </c>
      <c r="O16" s="32"/>
      <c r="P16" s="48"/>
      <c r="Q16" s="419">
        <f t="shared" si="1"/>
        <v>0</v>
      </c>
      <c r="R16" s="420"/>
    </row>
    <row r="17" spans="1:38" s="34" customFormat="1" ht="261">
      <c r="A17" s="21" t="s">
        <v>93</v>
      </c>
      <c r="B17" s="14" t="s">
        <v>27</v>
      </c>
      <c r="C17" s="13">
        <v>51220</v>
      </c>
      <c r="D17" s="14" t="s">
        <v>28</v>
      </c>
      <c r="E17" s="14" t="s">
        <v>29</v>
      </c>
      <c r="F17" s="57" t="s">
        <v>21</v>
      </c>
      <c r="G17" s="14" t="s">
        <v>94</v>
      </c>
      <c r="H17" s="14" t="s">
        <v>95</v>
      </c>
      <c r="I17" s="14" t="s">
        <v>24</v>
      </c>
      <c r="J17" s="14" t="s">
        <v>31</v>
      </c>
      <c r="K17" s="71" t="s">
        <v>32</v>
      </c>
      <c r="L17" s="71" t="s">
        <v>33</v>
      </c>
      <c r="M17" s="14" t="s">
        <v>25</v>
      </c>
      <c r="N17" s="15">
        <v>62000</v>
      </c>
      <c r="O17" s="16"/>
      <c r="P17" s="42"/>
      <c r="Q17" s="419">
        <f t="shared" si="1"/>
        <v>0</v>
      </c>
      <c r="R17" s="420"/>
      <c r="S17"/>
      <c r="T17"/>
      <c r="U17"/>
      <c r="V17"/>
      <c r="W17"/>
      <c r="X17"/>
      <c r="Y17"/>
      <c r="Z17"/>
      <c r="AA17"/>
      <c r="AB17"/>
      <c r="AC17"/>
      <c r="AD17"/>
      <c r="AE17"/>
      <c r="AF17"/>
      <c r="AG17"/>
      <c r="AH17"/>
      <c r="AI17"/>
      <c r="AJ17"/>
      <c r="AK17"/>
      <c r="AL17"/>
    </row>
    <row r="18" spans="1:38" s="33" customFormat="1" ht="130.5">
      <c r="A18" s="17" t="s">
        <v>96</v>
      </c>
      <c r="B18" s="14" t="s">
        <v>97</v>
      </c>
      <c r="C18" s="13">
        <v>51230</v>
      </c>
      <c r="D18" s="14" t="s">
        <v>98</v>
      </c>
      <c r="E18" s="14" t="s">
        <v>99</v>
      </c>
      <c r="F18" s="57" t="s">
        <v>21</v>
      </c>
      <c r="G18" s="14" t="s">
        <v>100</v>
      </c>
      <c r="H18" s="14" t="s">
        <v>101</v>
      </c>
      <c r="I18" s="14" t="s">
        <v>24</v>
      </c>
      <c r="J18" s="14" t="s">
        <v>31</v>
      </c>
      <c r="K18" s="71" t="s">
        <v>33</v>
      </c>
      <c r="L18" s="71" t="s">
        <v>32</v>
      </c>
      <c r="M18" s="14" t="s">
        <v>53</v>
      </c>
      <c r="N18" s="15">
        <v>53085</v>
      </c>
      <c r="O18" s="16"/>
      <c r="P18" s="42"/>
      <c r="Q18" s="419">
        <f t="shared" si="1"/>
        <v>0</v>
      </c>
      <c r="R18" s="420"/>
      <c r="S18"/>
      <c r="T18"/>
      <c r="U18"/>
      <c r="V18"/>
      <c r="W18"/>
      <c r="X18"/>
      <c r="Y18"/>
      <c r="Z18"/>
      <c r="AA18"/>
      <c r="AB18"/>
      <c r="AC18"/>
      <c r="AD18"/>
      <c r="AE18"/>
      <c r="AF18"/>
      <c r="AG18"/>
      <c r="AH18"/>
      <c r="AI18"/>
      <c r="AJ18"/>
      <c r="AK18"/>
      <c r="AL18"/>
    </row>
    <row r="19" spans="1:38" ht="275.5">
      <c r="A19" s="28" t="s">
        <v>87</v>
      </c>
      <c r="B19" s="30" t="s">
        <v>88</v>
      </c>
      <c r="C19" s="29">
        <v>53210</v>
      </c>
      <c r="D19" s="30" t="s">
        <v>89</v>
      </c>
      <c r="E19" s="30" t="s">
        <v>90</v>
      </c>
      <c r="F19" s="338" t="s">
        <v>21</v>
      </c>
      <c r="G19" s="30" t="s">
        <v>91</v>
      </c>
      <c r="H19" s="30" t="s">
        <v>92</v>
      </c>
      <c r="I19" s="30" t="s">
        <v>63</v>
      </c>
      <c r="J19" s="30" t="s">
        <v>31</v>
      </c>
      <c r="K19" s="341" t="s">
        <v>33</v>
      </c>
      <c r="L19" s="341" t="s">
        <v>33</v>
      </c>
      <c r="M19" s="30" t="s">
        <v>53</v>
      </c>
      <c r="N19" s="31">
        <v>17000</v>
      </c>
      <c r="O19" s="32"/>
      <c r="P19" s="48"/>
      <c r="Q19" s="419">
        <f t="shared" si="1"/>
        <v>0</v>
      </c>
      <c r="R19" s="420"/>
    </row>
    <row r="20" spans="1:38" ht="28.9" customHeight="1" thickBot="1">
      <c r="A20" s="49"/>
      <c r="B20" s="50"/>
      <c r="C20" s="51"/>
      <c r="D20" s="50"/>
      <c r="E20" s="50"/>
      <c r="F20" s="340"/>
      <c r="G20" s="50"/>
      <c r="H20" s="50"/>
      <c r="I20" s="50"/>
      <c r="J20" s="50"/>
      <c r="K20" s="344"/>
      <c r="L20" s="343" t="s">
        <v>102</v>
      </c>
      <c r="M20" s="50"/>
      <c r="N20" s="52">
        <f>SUM(N3:N19)</f>
        <v>715259</v>
      </c>
      <c r="O20" s="53">
        <f>SUM(O3:O19)</f>
        <v>237345</v>
      </c>
      <c r="P20" s="54"/>
      <c r="Q20" s="431">
        <f>SUM(Q3:Q19)</f>
        <v>237345</v>
      </c>
      <c r="R20" s="432"/>
    </row>
    <row r="23" spans="1:38">
      <c r="O23" s="118"/>
    </row>
    <row r="24" spans="1:38">
      <c r="O24" s="118"/>
    </row>
    <row r="85" spans="16:18" customFormat="1">
      <c r="P85" s="55"/>
      <c r="R85" s="55"/>
    </row>
    <row r="86" spans="16:18" customFormat="1">
      <c r="P86" s="316"/>
      <c r="R86" s="316"/>
    </row>
    <row r="87" spans="16:18" customFormat="1">
      <c r="P87" s="317"/>
      <c r="R87" s="317"/>
    </row>
    <row r="88" spans="16:18" customFormat="1">
      <c r="P88" s="317"/>
      <c r="R88" s="317"/>
    </row>
    <row r="89" spans="16:18" customFormat="1">
      <c r="P89" s="317"/>
      <c r="R89" s="317"/>
    </row>
    <row r="90" spans="16:18" customFormat="1">
      <c r="P90" s="317"/>
      <c r="R90" s="317"/>
    </row>
    <row r="91" spans="16:18" customFormat="1">
      <c r="P91" s="317"/>
      <c r="R91" s="317"/>
    </row>
    <row r="92" spans="16:18" customFormat="1">
      <c r="P92" s="317"/>
      <c r="R92" s="317"/>
    </row>
    <row r="93" spans="16:18" customFormat="1">
      <c r="P93" s="317"/>
      <c r="R93" s="317"/>
    </row>
    <row r="94" spans="16:18" customFormat="1">
      <c r="P94" s="317"/>
      <c r="R94" s="317"/>
    </row>
    <row r="95" spans="16:18" customFormat="1">
      <c r="P95" s="317"/>
      <c r="R95" s="317"/>
    </row>
    <row r="96" spans="16:18" customFormat="1">
      <c r="P96" s="317"/>
      <c r="R96" s="317"/>
    </row>
    <row r="97" spans="16:18" customFormat="1">
      <c r="P97" s="317"/>
      <c r="R97" s="317"/>
    </row>
    <row r="98" spans="16:18" customFormat="1">
      <c r="P98" s="317"/>
      <c r="R98" s="317"/>
    </row>
    <row r="99" spans="16:18" customFormat="1">
      <c r="P99" s="317"/>
      <c r="R99" s="317"/>
    </row>
    <row r="100" spans="16:18" customFormat="1">
      <c r="P100" s="317"/>
      <c r="R100" s="317"/>
    </row>
    <row r="101" spans="16:18" customFormat="1">
      <c r="P101" s="317"/>
      <c r="R101" s="317"/>
    </row>
    <row r="102" spans="16:18" customFormat="1">
      <c r="P102" s="317"/>
      <c r="R102" s="317"/>
    </row>
    <row r="104" spans="16:18" customFormat="1">
      <c r="P104" s="38"/>
      <c r="R104" s="38"/>
    </row>
  </sheetData>
  <sortState ref="A3:Q24">
    <sortCondition ref="A3:A24"/>
  </sortState>
  <pageMargins left="0.25" right="0.25" top="0.75" bottom="0.75" header="0.3" footer="0.3"/>
  <pageSetup paperSize="5" scale="69" fitToHeight="0"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4"/>
  <sheetViews>
    <sheetView zoomScale="90" zoomScaleNormal="90" workbookViewId="0"/>
  </sheetViews>
  <sheetFormatPr defaultRowHeight="14.5"/>
  <cols>
    <col min="1" max="1" width="9.1796875" style="35"/>
    <col min="2" max="2" width="13.81640625" style="2" customWidth="1"/>
    <col min="3" max="3" width="9.1796875" customWidth="1"/>
    <col min="4" max="4" width="18.54296875" style="2" customWidth="1"/>
    <col min="5" max="5" width="17.7265625" style="2" customWidth="1"/>
    <col min="6" max="6" width="9.26953125" style="2" hidden="1" customWidth="1"/>
    <col min="7" max="7" width="23.1796875" style="2" customWidth="1"/>
    <col min="8" max="8" width="74" style="2" customWidth="1"/>
    <col min="9" max="9" width="12.7265625" style="2" hidden="1" customWidth="1"/>
    <col min="10" max="10" width="16.7265625" style="2" hidden="1" customWidth="1"/>
    <col min="11" max="11" width="9.54296875" style="36" hidden="1" customWidth="1"/>
    <col min="12" max="12" width="10.54296875" style="36" hidden="1" customWidth="1"/>
    <col min="13" max="13" width="11.453125" style="2" hidden="1" customWidth="1"/>
    <col min="14" max="14" width="11.453125" customWidth="1"/>
    <col min="15" max="15" width="12.453125" customWidth="1"/>
    <col min="16" max="16" width="19.453125" style="38" customWidth="1"/>
    <col min="17" max="17" width="12.453125" customWidth="1"/>
    <col min="18" max="18" width="14.7265625" style="38" customWidth="1"/>
  </cols>
  <sheetData>
    <row r="1" spans="1:38" ht="28.15" customHeight="1" thickBot="1">
      <c r="A1" s="1" t="s">
        <v>126</v>
      </c>
    </row>
    <row r="2" spans="1:38" s="7" customFormat="1" ht="43.5">
      <c r="A2" s="46" t="s">
        <v>1</v>
      </c>
      <c r="B2" s="4" t="s">
        <v>2</v>
      </c>
      <c r="C2" s="5" t="s">
        <v>3</v>
      </c>
      <c r="D2" s="4" t="s">
        <v>4</v>
      </c>
      <c r="E2" s="4" t="s">
        <v>5</v>
      </c>
      <c r="F2" s="4" t="s">
        <v>6</v>
      </c>
      <c r="G2" s="4" t="s">
        <v>7</v>
      </c>
      <c r="H2" s="4" t="s">
        <v>8</v>
      </c>
      <c r="I2" s="4" t="s">
        <v>9</v>
      </c>
      <c r="J2" s="4" t="s">
        <v>10</v>
      </c>
      <c r="K2" s="6" t="s">
        <v>11</v>
      </c>
      <c r="L2" s="6" t="s">
        <v>12</v>
      </c>
      <c r="M2" s="4" t="s">
        <v>13</v>
      </c>
      <c r="N2" s="4" t="s">
        <v>14</v>
      </c>
      <c r="O2" s="39" t="s">
        <v>1011</v>
      </c>
      <c r="P2" s="415" t="s">
        <v>105</v>
      </c>
      <c r="Q2" s="413" t="s">
        <v>1012</v>
      </c>
      <c r="R2" s="430" t="s">
        <v>105</v>
      </c>
      <c r="S2"/>
      <c r="T2"/>
      <c r="U2"/>
      <c r="V2"/>
      <c r="W2"/>
      <c r="X2"/>
      <c r="Y2"/>
      <c r="Z2"/>
      <c r="AA2"/>
      <c r="AB2"/>
      <c r="AC2"/>
      <c r="AD2"/>
      <c r="AE2"/>
      <c r="AF2"/>
      <c r="AG2"/>
      <c r="AH2"/>
      <c r="AI2"/>
      <c r="AJ2"/>
      <c r="AK2"/>
      <c r="AL2"/>
    </row>
    <row r="3" spans="1:38" ht="218.15" customHeight="1">
      <c r="A3" s="21" t="s">
        <v>106</v>
      </c>
      <c r="B3" s="14" t="s">
        <v>107</v>
      </c>
      <c r="C3" s="13">
        <v>51310</v>
      </c>
      <c r="D3" s="14" t="s">
        <v>108</v>
      </c>
      <c r="E3" s="14" t="s">
        <v>109</v>
      </c>
      <c r="F3" s="14" t="s">
        <v>110</v>
      </c>
      <c r="G3" s="14" t="s">
        <v>111</v>
      </c>
      <c r="H3" s="14" t="s">
        <v>112</v>
      </c>
      <c r="I3" s="14" t="s">
        <v>24</v>
      </c>
      <c r="J3" s="14" t="s">
        <v>113</v>
      </c>
      <c r="K3" s="71" t="s">
        <v>33</v>
      </c>
      <c r="L3" s="71" t="s">
        <v>33</v>
      </c>
      <c r="M3" s="14" t="s">
        <v>65</v>
      </c>
      <c r="N3" s="15">
        <v>37500</v>
      </c>
      <c r="O3" s="16">
        <v>37500</v>
      </c>
      <c r="P3" s="37" t="s">
        <v>127</v>
      </c>
      <c r="Q3" s="407">
        <f>O3</f>
        <v>37500</v>
      </c>
      <c r="R3" s="433"/>
    </row>
    <row r="4" spans="1:38" ht="190.5" customHeight="1">
      <c r="A4" s="21" t="s">
        <v>114</v>
      </c>
      <c r="B4" s="13" t="s">
        <v>115</v>
      </c>
      <c r="C4" s="13">
        <v>51230</v>
      </c>
      <c r="D4" s="14" t="s">
        <v>116</v>
      </c>
      <c r="E4" s="14" t="s">
        <v>117</v>
      </c>
      <c r="F4" s="14" t="s">
        <v>110</v>
      </c>
      <c r="G4" s="14" t="s">
        <v>118</v>
      </c>
      <c r="H4" s="14" t="s">
        <v>119</v>
      </c>
      <c r="I4" s="14" t="s">
        <v>24</v>
      </c>
      <c r="J4" s="14" t="s">
        <v>113</v>
      </c>
      <c r="K4" s="71" t="s">
        <v>32</v>
      </c>
      <c r="L4" s="71" t="s">
        <v>33</v>
      </c>
      <c r="M4" s="14" t="s">
        <v>25</v>
      </c>
      <c r="N4" s="15">
        <v>120000</v>
      </c>
      <c r="O4" s="16">
        <v>75964</v>
      </c>
      <c r="P4" s="37" t="s">
        <v>128</v>
      </c>
      <c r="Q4" s="407">
        <f>O4</f>
        <v>75964</v>
      </c>
      <c r="R4" s="433"/>
    </row>
    <row r="5" spans="1:38" ht="165" customHeight="1">
      <c r="A5" s="21" t="s">
        <v>120</v>
      </c>
      <c r="B5" s="13" t="s">
        <v>121</v>
      </c>
      <c r="C5" s="13">
        <v>51230</v>
      </c>
      <c r="D5" s="14" t="s">
        <v>122</v>
      </c>
      <c r="E5" s="14" t="s">
        <v>123</v>
      </c>
      <c r="F5" s="14" t="s">
        <v>110</v>
      </c>
      <c r="G5" s="14" t="s">
        <v>124</v>
      </c>
      <c r="H5" s="14" t="s">
        <v>125</v>
      </c>
      <c r="I5" s="14" t="s">
        <v>24</v>
      </c>
      <c r="J5" s="14" t="s">
        <v>31</v>
      </c>
      <c r="K5" s="71" t="s">
        <v>32</v>
      </c>
      <c r="L5" s="71" t="s">
        <v>32</v>
      </c>
      <c r="M5" s="14" t="s">
        <v>25</v>
      </c>
      <c r="N5" s="15">
        <v>60000</v>
      </c>
      <c r="O5" s="16">
        <v>0</v>
      </c>
      <c r="P5" s="37" t="s">
        <v>129</v>
      </c>
      <c r="Q5" s="407"/>
      <c r="R5" s="433"/>
    </row>
    <row r="6" spans="1:38" s="55" customFormat="1" ht="28.9" customHeight="1" thickBot="1">
      <c r="A6" s="49"/>
      <c r="B6" s="50"/>
      <c r="C6" s="51"/>
      <c r="D6" s="50"/>
      <c r="E6" s="50"/>
      <c r="F6" s="50"/>
      <c r="G6" s="50"/>
      <c r="H6" s="50"/>
      <c r="I6" s="50"/>
      <c r="J6" s="50"/>
      <c r="K6" s="344"/>
      <c r="L6" s="343" t="s">
        <v>102</v>
      </c>
      <c r="M6" s="50"/>
      <c r="N6" s="52">
        <f>SUM(N3:N5)</f>
        <v>217500</v>
      </c>
      <c r="O6" s="53">
        <f>SUM(O3:O5)</f>
        <v>113464</v>
      </c>
      <c r="P6" s="54"/>
      <c r="Q6" s="434">
        <f>SUM(Q3:Q5)</f>
        <v>113464</v>
      </c>
      <c r="R6" s="432"/>
    </row>
    <row r="85" spans="15:19">
      <c r="P85" s="55" t="s">
        <v>936</v>
      </c>
      <c r="R85" s="55" t="s">
        <v>936</v>
      </c>
    </row>
    <row r="86" spans="15:19">
      <c r="O86" t="s">
        <v>937</v>
      </c>
      <c r="P86" s="316" t="s">
        <v>938</v>
      </c>
      <c r="Q86" t="s">
        <v>937</v>
      </c>
      <c r="R86" s="316" t="s">
        <v>938</v>
      </c>
      <c r="S86" t="e">
        <f>'Operational-AA'!#REF!</f>
        <v>#REF!</v>
      </c>
    </row>
    <row r="87" spans="15:19">
      <c r="P87" s="317" t="s">
        <v>939</v>
      </c>
      <c r="R87" s="317" t="s">
        <v>939</v>
      </c>
    </row>
    <row r="88" spans="15:19">
      <c r="P88" s="317">
        <v>19</v>
      </c>
      <c r="R88" s="317">
        <v>19</v>
      </c>
    </row>
    <row r="89" spans="15:19">
      <c r="P89" s="317">
        <v>20</v>
      </c>
      <c r="R89" s="317">
        <v>20</v>
      </c>
    </row>
    <row r="90" spans="15:19">
      <c r="P90" s="317" t="s">
        <v>940</v>
      </c>
      <c r="R90" s="317" t="s">
        <v>940</v>
      </c>
    </row>
    <row r="91" spans="15:19">
      <c r="P91" s="317"/>
      <c r="R91" s="317"/>
    </row>
    <row r="92" spans="15:19">
      <c r="P92" s="317"/>
      <c r="R92" s="317"/>
    </row>
    <row r="93" spans="15:19">
      <c r="P93" s="317"/>
      <c r="R93" s="317"/>
    </row>
    <row r="94" spans="15:19">
      <c r="P94" s="317" t="s">
        <v>942</v>
      </c>
      <c r="R94" s="317" t="s">
        <v>942</v>
      </c>
    </row>
    <row r="95" spans="15:19">
      <c r="P95" s="317" t="s">
        <v>943</v>
      </c>
      <c r="R95" s="317" t="s">
        <v>943</v>
      </c>
    </row>
    <row r="96" spans="15:19">
      <c r="P96" s="317">
        <v>35</v>
      </c>
      <c r="R96" s="317">
        <v>35</v>
      </c>
    </row>
    <row r="97" spans="16:20">
      <c r="P97" s="317" t="s">
        <v>944</v>
      </c>
      <c r="R97" s="317" t="s">
        <v>944</v>
      </c>
    </row>
    <row r="98" spans="16:20">
      <c r="P98" s="317"/>
      <c r="R98" s="317"/>
    </row>
    <row r="99" spans="16:20">
      <c r="P99" s="317"/>
      <c r="R99" s="317"/>
    </row>
    <row r="100" spans="16:20">
      <c r="P100" s="317"/>
      <c r="R100" s="317"/>
    </row>
    <row r="101" spans="16:20">
      <c r="P101" s="317" t="s">
        <v>941</v>
      </c>
      <c r="R101" s="317" t="s">
        <v>941</v>
      </c>
    </row>
    <row r="102" spans="16:20">
      <c r="P102" s="317"/>
      <c r="R102" s="317"/>
    </row>
    <row r="104" spans="16:20">
      <c r="S104">
        <f>S99+S91+S102</f>
        <v>0</v>
      </c>
      <c r="T104">
        <f>T99+T91+T102</f>
        <v>0</v>
      </c>
    </row>
  </sheetData>
  <pageMargins left="0.25" right="0.25" top="0.75" bottom="0.75" header="0.3" footer="0.3"/>
  <pageSetup paperSize="5" scale="67" fitToHeight="0" orientation="landscape"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4"/>
  <sheetViews>
    <sheetView zoomScale="90" zoomScaleNormal="90" workbookViewId="0">
      <selection activeCell="A6" sqref="A6"/>
    </sheetView>
  </sheetViews>
  <sheetFormatPr defaultRowHeight="14.5"/>
  <cols>
    <col min="1" max="1" width="9.1796875" style="35"/>
    <col min="2" max="2" width="16.7265625" style="2" customWidth="1"/>
    <col min="3" max="3" width="9.1796875" customWidth="1"/>
    <col min="4" max="4" width="18.54296875" style="2" customWidth="1"/>
    <col min="5" max="5" width="23.26953125" style="2" customWidth="1"/>
    <col min="6" max="6" width="9.26953125" style="2" hidden="1" customWidth="1"/>
    <col min="7" max="7" width="20.54296875" style="2" customWidth="1"/>
    <col min="8" max="8" width="74" style="2" customWidth="1"/>
    <col min="9" max="9" width="13.7265625" style="2" hidden="1" customWidth="1"/>
    <col min="10" max="10" width="16.7265625" style="2" hidden="1" customWidth="1"/>
    <col min="11" max="11" width="9.54296875" hidden="1" customWidth="1"/>
    <col min="12" max="12" width="10.54296875" hidden="1" customWidth="1"/>
    <col min="13" max="13" width="17.7265625" style="2" hidden="1" customWidth="1"/>
    <col min="14" max="14" width="10.7265625" customWidth="1"/>
    <col min="15" max="15" width="12.1796875" customWidth="1"/>
    <col min="16" max="16" width="16" style="38" customWidth="1"/>
    <col min="17" max="17" width="10.453125" customWidth="1"/>
    <col min="18" max="18" width="13.54296875" style="38" customWidth="1"/>
  </cols>
  <sheetData>
    <row r="1" spans="1:38" ht="28.15" customHeight="1" thickBot="1">
      <c r="A1" s="1" t="s">
        <v>656</v>
      </c>
    </row>
    <row r="2" spans="1:38" s="7" customFormat="1" ht="43.5">
      <c r="A2" s="46" t="s">
        <v>1</v>
      </c>
      <c r="B2" s="4" t="s">
        <v>2</v>
      </c>
      <c r="C2" s="5" t="s">
        <v>3</v>
      </c>
      <c r="D2" s="4" t="s">
        <v>4</v>
      </c>
      <c r="E2" s="4" t="s">
        <v>5</v>
      </c>
      <c r="F2" s="4" t="s">
        <v>6</v>
      </c>
      <c r="G2" s="4" t="s">
        <v>7</v>
      </c>
      <c r="H2" s="4" t="s">
        <v>8</v>
      </c>
      <c r="I2" s="4" t="s">
        <v>9</v>
      </c>
      <c r="J2" s="4" t="s">
        <v>10</v>
      </c>
      <c r="K2" s="6" t="s">
        <v>11</v>
      </c>
      <c r="L2" s="6" t="s">
        <v>12</v>
      </c>
      <c r="M2" s="4" t="s">
        <v>13</v>
      </c>
      <c r="N2" s="4" t="s">
        <v>14</v>
      </c>
      <c r="O2" s="39" t="s">
        <v>1011</v>
      </c>
      <c r="P2" s="415" t="s">
        <v>105</v>
      </c>
      <c r="Q2" s="413" t="s">
        <v>1012</v>
      </c>
      <c r="R2" s="414" t="s">
        <v>105</v>
      </c>
      <c r="S2"/>
      <c r="T2"/>
      <c r="U2"/>
      <c r="V2"/>
      <c r="W2"/>
      <c r="X2"/>
      <c r="Y2"/>
      <c r="Z2"/>
      <c r="AA2"/>
      <c r="AB2"/>
      <c r="AC2"/>
      <c r="AD2"/>
      <c r="AE2"/>
      <c r="AF2"/>
      <c r="AG2"/>
      <c r="AH2"/>
      <c r="AI2"/>
      <c r="AJ2"/>
      <c r="AK2"/>
      <c r="AL2"/>
    </row>
    <row r="3" spans="1:38" ht="247" customHeight="1">
      <c r="A3" s="21" t="s">
        <v>130</v>
      </c>
      <c r="B3" s="14" t="s">
        <v>131</v>
      </c>
      <c r="C3" s="13">
        <v>54101</v>
      </c>
      <c r="D3" s="14" t="s">
        <v>132</v>
      </c>
      <c r="E3" s="14" t="s">
        <v>133</v>
      </c>
      <c r="F3" s="14" t="s">
        <v>134</v>
      </c>
      <c r="G3" s="14" t="s">
        <v>135</v>
      </c>
      <c r="H3" s="14" t="s">
        <v>136</v>
      </c>
      <c r="I3" s="14" t="s">
        <v>63</v>
      </c>
      <c r="J3" s="14" t="s">
        <v>31</v>
      </c>
      <c r="K3" s="13" t="s">
        <v>32</v>
      </c>
      <c r="L3" s="13" t="s">
        <v>32</v>
      </c>
      <c r="M3" s="14" t="s">
        <v>25</v>
      </c>
      <c r="N3" s="15">
        <v>75000</v>
      </c>
      <c r="O3" s="40"/>
      <c r="P3" s="19" t="s">
        <v>1013</v>
      </c>
      <c r="Q3" s="435">
        <f>O3</f>
        <v>0</v>
      </c>
      <c r="R3" s="408" t="s">
        <v>1059</v>
      </c>
    </row>
    <row r="4" spans="1:38" ht="145">
      <c r="A4" s="21" t="s">
        <v>138</v>
      </c>
      <c r="B4" s="13" t="s">
        <v>139</v>
      </c>
      <c r="C4" s="13">
        <v>51310</v>
      </c>
      <c r="D4" s="14" t="s">
        <v>140</v>
      </c>
      <c r="E4" s="14" t="s">
        <v>141</v>
      </c>
      <c r="F4" s="14" t="s">
        <v>134</v>
      </c>
      <c r="G4" s="14" t="s">
        <v>142</v>
      </c>
      <c r="H4" s="14" t="s">
        <v>143</v>
      </c>
      <c r="I4" s="14" t="s">
        <v>24</v>
      </c>
      <c r="J4" s="14" t="s">
        <v>113</v>
      </c>
      <c r="K4" s="13" t="s">
        <v>33</v>
      </c>
      <c r="L4" s="13" t="s">
        <v>33</v>
      </c>
      <c r="M4" s="14" t="s">
        <v>25</v>
      </c>
      <c r="N4" s="15">
        <v>127000</v>
      </c>
      <c r="O4" s="56">
        <v>127556</v>
      </c>
      <c r="P4" s="19"/>
      <c r="Q4" s="436">
        <f>O4</f>
        <v>127556</v>
      </c>
      <c r="R4" s="408"/>
    </row>
    <row r="5" spans="1:38" ht="146.5" customHeight="1">
      <c r="A5" s="21" t="s">
        <v>145</v>
      </c>
      <c r="B5" s="14" t="s">
        <v>139</v>
      </c>
      <c r="C5" s="13">
        <v>51230</v>
      </c>
      <c r="D5" s="14" t="s">
        <v>140</v>
      </c>
      <c r="E5" s="14" t="s">
        <v>141</v>
      </c>
      <c r="F5" s="14" t="s">
        <v>134</v>
      </c>
      <c r="G5" s="14" t="s">
        <v>146</v>
      </c>
      <c r="H5" s="14" t="s">
        <v>147</v>
      </c>
      <c r="I5" s="14" t="s">
        <v>24</v>
      </c>
      <c r="J5" s="14" t="s">
        <v>113</v>
      </c>
      <c r="K5" s="13" t="s">
        <v>32</v>
      </c>
      <c r="L5" s="13" t="s">
        <v>33</v>
      </c>
      <c r="M5" s="14" t="s">
        <v>25</v>
      </c>
      <c r="N5" s="15">
        <v>68788</v>
      </c>
      <c r="O5" s="41"/>
      <c r="P5" s="19" t="s">
        <v>144</v>
      </c>
      <c r="Q5" s="437">
        <v>0</v>
      </c>
      <c r="R5" s="408"/>
    </row>
    <row r="6" spans="1:38" s="55" customFormat="1" ht="28.9" customHeight="1" thickBot="1">
      <c r="A6" s="59"/>
      <c r="B6" s="60"/>
      <c r="C6" s="61"/>
      <c r="D6" s="60"/>
      <c r="E6" s="60"/>
      <c r="F6" s="60"/>
      <c r="G6" s="60"/>
      <c r="H6" s="60"/>
      <c r="I6" s="60"/>
      <c r="J6" s="60"/>
      <c r="K6" s="61"/>
      <c r="L6" s="62" t="s">
        <v>102</v>
      </c>
      <c r="M6" s="60"/>
      <c r="N6" s="63">
        <f>SUM(N3:N5)</f>
        <v>270788</v>
      </c>
      <c r="O6" s="64">
        <f>SUM(O4:O5)</f>
        <v>127556</v>
      </c>
      <c r="P6" s="58"/>
      <c r="Q6" s="438">
        <f>SUM(Q4:Q5)</f>
        <v>127556</v>
      </c>
      <c r="R6" s="439"/>
    </row>
    <row r="85" spans="15:19">
      <c r="P85" s="55" t="s">
        <v>936</v>
      </c>
      <c r="R85" s="55" t="s">
        <v>936</v>
      </c>
    </row>
    <row r="86" spans="15:19">
      <c r="O86" t="s">
        <v>937</v>
      </c>
      <c r="P86" s="316" t="s">
        <v>938</v>
      </c>
      <c r="Q86" t="s">
        <v>937</v>
      </c>
      <c r="R86" s="316" t="s">
        <v>938</v>
      </c>
      <c r="S86" t="e">
        <f>'Operational-AA'!#REF!</f>
        <v>#REF!</v>
      </c>
    </row>
    <row r="87" spans="15:19">
      <c r="P87" s="317" t="s">
        <v>939</v>
      </c>
      <c r="R87" s="317" t="s">
        <v>939</v>
      </c>
    </row>
    <row r="88" spans="15:19">
      <c r="P88" s="317">
        <v>19</v>
      </c>
      <c r="R88" s="317">
        <v>19</v>
      </c>
    </row>
    <row r="89" spans="15:19">
      <c r="P89" s="317">
        <v>20</v>
      </c>
      <c r="R89" s="317">
        <v>20</v>
      </c>
    </row>
    <row r="90" spans="15:19">
      <c r="P90" s="317" t="s">
        <v>940</v>
      </c>
      <c r="R90" s="317" t="s">
        <v>940</v>
      </c>
    </row>
    <row r="91" spans="15:19">
      <c r="P91" s="317"/>
      <c r="R91" s="317"/>
    </row>
    <row r="92" spans="15:19">
      <c r="P92" s="317"/>
      <c r="R92" s="317"/>
    </row>
    <row r="93" spans="15:19">
      <c r="P93" s="317"/>
      <c r="R93" s="317"/>
    </row>
    <row r="94" spans="15:19">
      <c r="P94" s="317" t="s">
        <v>942</v>
      </c>
      <c r="R94" s="317" t="s">
        <v>942</v>
      </c>
    </row>
    <row r="95" spans="15:19">
      <c r="P95" s="317" t="s">
        <v>943</v>
      </c>
      <c r="R95" s="317" t="s">
        <v>943</v>
      </c>
    </row>
    <row r="96" spans="15:19">
      <c r="P96" s="317">
        <v>35</v>
      </c>
      <c r="R96" s="317">
        <v>35</v>
      </c>
    </row>
    <row r="97" spans="16:20">
      <c r="P97" s="317" t="s">
        <v>944</v>
      </c>
      <c r="R97" s="317" t="s">
        <v>944</v>
      </c>
    </row>
    <row r="98" spans="16:20">
      <c r="P98" s="317"/>
      <c r="R98" s="317"/>
    </row>
    <row r="99" spans="16:20">
      <c r="P99" s="317"/>
      <c r="R99" s="317"/>
    </row>
    <row r="100" spans="16:20">
      <c r="P100" s="317"/>
      <c r="R100" s="317"/>
    </row>
    <row r="101" spans="16:20">
      <c r="P101" s="317" t="s">
        <v>941</v>
      </c>
      <c r="R101" s="317" t="s">
        <v>941</v>
      </c>
    </row>
    <row r="102" spans="16:20">
      <c r="P102" s="317"/>
      <c r="R102" s="317"/>
    </row>
    <row r="104" spans="16:20">
      <c r="S104">
        <f>S99+S91+S102</f>
        <v>0</v>
      </c>
      <c r="T104">
        <f>T99+T91+T102</f>
        <v>0</v>
      </c>
    </row>
  </sheetData>
  <pageMargins left="0.25" right="0.25" top="0.75" bottom="0.75" header="0.3" footer="0.3"/>
  <pageSetup paperSize="5" scale="65" fitToHeight="0" orientation="landscape" r:id="rId1"/>
  <headerFoot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2"/>
  <sheetViews>
    <sheetView zoomScale="90" zoomScaleNormal="90" workbookViewId="0">
      <selection activeCell="C1" sqref="C1"/>
    </sheetView>
  </sheetViews>
  <sheetFormatPr defaultRowHeight="14.5"/>
  <cols>
    <col min="1" max="1" width="9.1796875" style="35"/>
    <col min="2" max="2" width="12.54296875" customWidth="1"/>
    <col min="3" max="3" width="9.1796875" customWidth="1"/>
    <col min="4" max="4" width="18.54296875" style="2" customWidth="1"/>
    <col min="5" max="5" width="23.1796875" style="2" customWidth="1"/>
    <col min="6" max="6" width="9.1796875" style="2" hidden="1" customWidth="1"/>
    <col min="7" max="7" width="27.26953125" style="2" customWidth="1"/>
    <col min="8" max="8" width="70" style="2" customWidth="1"/>
    <col min="9" max="9" width="16.7265625" style="2" hidden="1" customWidth="1"/>
    <col min="10" max="10" width="16.81640625" style="2" hidden="1" customWidth="1"/>
    <col min="11" max="11" width="9.54296875" style="36" hidden="1" customWidth="1"/>
    <col min="12" max="12" width="10.54296875" style="36" hidden="1" customWidth="1"/>
    <col min="13" max="13" width="17.54296875" style="2" hidden="1" customWidth="1"/>
    <col min="14" max="14" width="11" customWidth="1"/>
    <col min="15" max="15" width="13.54296875" customWidth="1"/>
    <col min="16" max="16" width="10.54296875" style="2" customWidth="1"/>
    <col min="17" max="17" width="13.54296875" customWidth="1"/>
    <col min="18" max="18" width="11.54296875" style="2" customWidth="1"/>
    <col min="19" max="19" width="12.7265625" customWidth="1"/>
  </cols>
  <sheetData>
    <row r="1" spans="1:18" ht="29.25" customHeight="1">
      <c r="A1" s="1" t="s">
        <v>654</v>
      </c>
    </row>
    <row r="2" spans="1:18" s="7" customFormat="1" ht="43.5">
      <c r="A2" s="81" t="s">
        <v>1</v>
      </c>
      <c r="B2" s="82" t="s">
        <v>2</v>
      </c>
      <c r="C2" s="81" t="s">
        <v>3</v>
      </c>
      <c r="D2" s="82" t="s">
        <v>4</v>
      </c>
      <c r="E2" s="82" t="s">
        <v>5</v>
      </c>
      <c r="F2" s="82" t="s">
        <v>6</v>
      </c>
      <c r="G2" s="82" t="s">
        <v>7</v>
      </c>
      <c r="H2" s="82" t="s">
        <v>8</v>
      </c>
      <c r="I2" s="82" t="s">
        <v>9</v>
      </c>
      <c r="J2" s="82" t="s">
        <v>471</v>
      </c>
      <c r="K2" s="83" t="s">
        <v>11</v>
      </c>
      <c r="L2" s="83" t="s">
        <v>12</v>
      </c>
      <c r="M2" s="82" t="s">
        <v>13</v>
      </c>
      <c r="N2" s="82" t="s">
        <v>14</v>
      </c>
      <c r="O2" s="83" t="s">
        <v>1021</v>
      </c>
      <c r="P2" s="83" t="s">
        <v>105</v>
      </c>
      <c r="Q2" s="281" t="s">
        <v>1012</v>
      </c>
      <c r="R2" s="280" t="s">
        <v>105</v>
      </c>
    </row>
    <row r="3" spans="1:18" s="7" customFormat="1" ht="21" customHeight="1">
      <c r="A3" s="10" t="s">
        <v>17</v>
      </c>
      <c r="B3" s="9"/>
      <c r="C3" s="10"/>
      <c r="D3" s="9"/>
      <c r="E3" s="9"/>
      <c r="F3" s="9"/>
      <c r="G3" s="9"/>
      <c r="H3" s="9"/>
      <c r="I3" s="9"/>
      <c r="J3" s="9"/>
      <c r="K3" s="11"/>
      <c r="L3" s="11"/>
      <c r="M3" s="9"/>
      <c r="N3" s="9"/>
      <c r="O3" s="77">
        <f>65355+19606+1091</f>
        <v>86052</v>
      </c>
      <c r="P3" s="9"/>
      <c r="Q3" s="440"/>
      <c r="R3" s="441"/>
    </row>
    <row r="4" spans="1:18" ht="409.5">
      <c r="A4" s="13" t="s">
        <v>478</v>
      </c>
      <c r="B4" s="13" t="s">
        <v>479</v>
      </c>
      <c r="C4" s="13">
        <v>53550</v>
      </c>
      <c r="D4" s="14" t="s">
        <v>480</v>
      </c>
      <c r="E4" s="14" t="s">
        <v>481</v>
      </c>
      <c r="F4" s="14" t="s">
        <v>476</v>
      </c>
      <c r="G4" s="14" t="s">
        <v>482</v>
      </c>
      <c r="H4" s="14" t="s">
        <v>483</v>
      </c>
      <c r="I4" s="14" t="s">
        <v>63</v>
      </c>
      <c r="J4" s="14" t="s">
        <v>31</v>
      </c>
      <c r="K4" s="71" t="s">
        <v>33</v>
      </c>
      <c r="L4" s="71" t="s">
        <v>33</v>
      </c>
      <c r="M4" s="14" t="s">
        <v>56</v>
      </c>
      <c r="N4" s="15">
        <v>20000</v>
      </c>
      <c r="O4" s="15">
        <v>30000</v>
      </c>
      <c r="P4" s="14"/>
      <c r="Q4" s="419">
        <f t="shared" ref="Q4:Q11" si="0">O4</f>
        <v>30000</v>
      </c>
      <c r="R4" s="417"/>
    </row>
    <row r="5" spans="1:18" ht="130.5">
      <c r="A5" s="13" t="s">
        <v>484</v>
      </c>
      <c r="B5" s="13" t="s">
        <v>479</v>
      </c>
      <c r="C5" s="13">
        <v>56120</v>
      </c>
      <c r="D5" s="14" t="s">
        <v>480</v>
      </c>
      <c r="E5" s="14" t="s">
        <v>481</v>
      </c>
      <c r="F5" s="14" t="s">
        <v>476</v>
      </c>
      <c r="G5" s="14" t="s">
        <v>485</v>
      </c>
      <c r="H5" s="14" t="s">
        <v>486</v>
      </c>
      <c r="I5" s="14" t="s">
        <v>63</v>
      </c>
      <c r="J5" s="14" t="s">
        <v>31</v>
      </c>
      <c r="K5" s="71" t="s">
        <v>33</v>
      </c>
      <c r="L5" s="71" t="s">
        <v>33</v>
      </c>
      <c r="M5" s="14" t="s">
        <v>25</v>
      </c>
      <c r="N5" s="15">
        <v>2000</v>
      </c>
      <c r="O5" s="15">
        <v>2000</v>
      </c>
      <c r="P5" s="14"/>
      <c r="Q5" s="419">
        <f t="shared" si="0"/>
        <v>2000</v>
      </c>
      <c r="R5" s="417"/>
    </row>
    <row r="6" spans="1:18" ht="130.5">
      <c r="A6" s="13" t="s">
        <v>487</v>
      </c>
      <c r="B6" s="13" t="s">
        <v>479</v>
      </c>
      <c r="C6" s="13">
        <v>56520</v>
      </c>
      <c r="D6" s="14" t="s">
        <v>480</v>
      </c>
      <c r="E6" s="14" t="s">
        <v>481</v>
      </c>
      <c r="F6" s="14" t="s">
        <v>476</v>
      </c>
      <c r="G6" s="14" t="s">
        <v>488</v>
      </c>
      <c r="H6" s="14" t="s">
        <v>489</v>
      </c>
      <c r="I6" s="14" t="s">
        <v>63</v>
      </c>
      <c r="J6" s="14" t="s">
        <v>31</v>
      </c>
      <c r="K6" s="71" t="s">
        <v>33</v>
      </c>
      <c r="L6" s="71" t="s">
        <v>33</v>
      </c>
      <c r="M6" s="14" t="s">
        <v>25</v>
      </c>
      <c r="N6" s="15">
        <v>2500</v>
      </c>
      <c r="O6" s="15">
        <v>2500</v>
      </c>
      <c r="P6" s="14"/>
      <c r="Q6" s="419">
        <f t="shared" si="0"/>
        <v>2500</v>
      </c>
      <c r="R6" s="417"/>
    </row>
    <row r="7" spans="1:18" ht="145">
      <c r="A7" s="13" t="s">
        <v>490</v>
      </c>
      <c r="B7" s="13" t="s">
        <v>479</v>
      </c>
      <c r="C7" s="13">
        <v>55400</v>
      </c>
      <c r="D7" s="14" t="s">
        <v>480</v>
      </c>
      <c r="E7" s="14" t="s">
        <v>481</v>
      </c>
      <c r="F7" s="14" t="s">
        <v>491</v>
      </c>
      <c r="G7" s="14" t="s">
        <v>492</v>
      </c>
      <c r="H7" s="14" t="s">
        <v>493</v>
      </c>
      <c r="I7" s="14" t="s">
        <v>63</v>
      </c>
      <c r="J7" s="14" t="s">
        <v>370</v>
      </c>
      <c r="K7" s="71" t="s">
        <v>33</v>
      </c>
      <c r="L7" s="71" t="s">
        <v>33</v>
      </c>
      <c r="M7" s="14" t="s">
        <v>25</v>
      </c>
      <c r="N7" s="15">
        <v>1250</v>
      </c>
      <c r="O7" s="15">
        <v>1250</v>
      </c>
      <c r="P7" s="14"/>
      <c r="Q7" s="419">
        <f t="shared" si="0"/>
        <v>1250</v>
      </c>
      <c r="R7" s="417"/>
    </row>
    <row r="8" spans="1:18" ht="145">
      <c r="A8" s="13" t="s">
        <v>494</v>
      </c>
      <c r="B8" s="13" t="s">
        <v>479</v>
      </c>
      <c r="C8" s="13">
        <v>53300</v>
      </c>
      <c r="D8" s="14" t="s">
        <v>480</v>
      </c>
      <c r="E8" s="14" t="s">
        <v>481</v>
      </c>
      <c r="F8" s="14" t="s">
        <v>476</v>
      </c>
      <c r="G8" s="14" t="s">
        <v>495</v>
      </c>
      <c r="H8" s="14" t="s">
        <v>496</v>
      </c>
      <c r="I8" s="14" t="s">
        <v>63</v>
      </c>
      <c r="J8" s="14" t="s">
        <v>370</v>
      </c>
      <c r="K8" s="71" t="s">
        <v>33</v>
      </c>
      <c r="L8" s="71" t="s">
        <v>33</v>
      </c>
      <c r="M8" s="14" t="s">
        <v>25</v>
      </c>
      <c r="N8" s="15">
        <v>5000</v>
      </c>
      <c r="O8" s="15">
        <v>2000</v>
      </c>
      <c r="P8" s="14"/>
      <c r="Q8" s="419">
        <f t="shared" si="0"/>
        <v>2000</v>
      </c>
      <c r="R8" s="417"/>
    </row>
    <row r="9" spans="1:18" ht="130.5">
      <c r="A9" s="13" t="s">
        <v>497</v>
      </c>
      <c r="B9" s="13" t="s">
        <v>498</v>
      </c>
      <c r="C9" s="13">
        <v>54100</v>
      </c>
      <c r="D9" s="14" t="s">
        <v>499</v>
      </c>
      <c r="E9" s="14" t="s">
        <v>500</v>
      </c>
      <c r="F9" s="14" t="s">
        <v>476</v>
      </c>
      <c r="G9" s="14" t="s">
        <v>501</v>
      </c>
      <c r="H9" s="14" t="s">
        <v>502</v>
      </c>
      <c r="I9" s="14" t="s">
        <v>63</v>
      </c>
      <c r="J9" s="14" t="s">
        <v>31</v>
      </c>
      <c r="K9" s="71" t="s">
        <v>33</v>
      </c>
      <c r="L9" s="71" t="s">
        <v>32</v>
      </c>
      <c r="M9" s="14" t="s">
        <v>503</v>
      </c>
      <c r="N9" s="15">
        <v>10000</v>
      </c>
      <c r="O9" s="15">
        <v>10000</v>
      </c>
      <c r="P9" s="14"/>
      <c r="Q9" s="419">
        <f t="shared" si="0"/>
        <v>10000</v>
      </c>
      <c r="R9" s="417"/>
    </row>
    <row r="10" spans="1:18" ht="130.5">
      <c r="A10" s="13" t="s">
        <v>504</v>
      </c>
      <c r="B10" s="13" t="s">
        <v>498</v>
      </c>
      <c r="C10" s="13">
        <v>54101</v>
      </c>
      <c r="D10" s="14" t="s">
        <v>499</v>
      </c>
      <c r="E10" s="14" t="s">
        <v>500</v>
      </c>
      <c r="F10" s="14" t="s">
        <v>476</v>
      </c>
      <c r="G10" s="14" t="s">
        <v>505</v>
      </c>
      <c r="H10" s="14" t="s">
        <v>506</v>
      </c>
      <c r="I10" s="14" t="s">
        <v>63</v>
      </c>
      <c r="J10" s="14" t="s">
        <v>31</v>
      </c>
      <c r="K10" s="71" t="s">
        <v>33</v>
      </c>
      <c r="L10" s="71" t="s">
        <v>33</v>
      </c>
      <c r="M10" s="14" t="s">
        <v>25</v>
      </c>
      <c r="N10" s="15">
        <v>4000</v>
      </c>
      <c r="O10" s="15">
        <v>4000</v>
      </c>
      <c r="P10" s="14"/>
      <c r="Q10" s="419">
        <f t="shared" si="0"/>
        <v>4000</v>
      </c>
      <c r="R10" s="417"/>
    </row>
    <row r="11" spans="1:18" ht="409.5">
      <c r="A11" s="13" t="s">
        <v>507</v>
      </c>
      <c r="B11" s="13" t="s">
        <v>479</v>
      </c>
      <c r="C11" s="13">
        <v>51310</v>
      </c>
      <c r="D11" s="14" t="s">
        <v>480</v>
      </c>
      <c r="E11" s="14" t="s">
        <v>481</v>
      </c>
      <c r="F11" s="14" t="s">
        <v>476</v>
      </c>
      <c r="G11" s="14" t="s">
        <v>508</v>
      </c>
      <c r="H11" s="14" t="s">
        <v>509</v>
      </c>
      <c r="I11" s="14" t="s">
        <v>24</v>
      </c>
      <c r="J11" s="14" t="s">
        <v>31</v>
      </c>
      <c r="K11" s="71" t="s">
        <v>33</v>
      </c>
      <c r="L11" s="71" t="s">
        <v>33</v>
      </c>
      <c r="M11" s="14" t="s">
        <v>45</v>
      </c>
      <c r="N11" s="15">
        <v>10000</v>
      </c>
      <c r="O11" s="15">
        <v>10000</v>
      </c>
      <c r="P11" s="14"/>
      <c r="Q11" s="419">
        <f t="shared" si="0"/>
        <v>10000</v>
      </c>
      <c r="R11" s="417"/>
    </row>
    <row r="12" spans="1:18" ht="145">
      <c r="A12" s="13" t="s">
        <v>472</v>
      </c>
      <c r="B12" s="13" t="s">
        <v>473</v>
      </c>
      <c r="C12" s="13">
        <v>53210</v>
      </c>
      <c r="D12" s="14" t="s">
        <v>474</v>
      </c>
      <c r="E12" s="14" t="s">
        <v>475</v>
      </c>
      <c r="F12" s="14" t="s">
        <v>476</v>
      </c>
      <c r="G12" s="14" t="s">
        <v>477</v>
      </c>
      <c r="H12" s="14" t="s">
        <v>477</v>
      </c>
      <c r="I12" s="14" t="s">
        <v>63</v>
      </c>
      <c r="J12" s="14" t="s">
        <v>370</v>
      </c>
      <c r="K12" s="71" t="s">
        <v>33</v>
      </c>
      <c r="L12" s="71" t="s">
        <v>32</v>
      </c>
      <c r="M12" s="14" t="s">
        <v>53</v>
      </c>
      <c r="N12" s="15">
        <v>10000</v>
      </c>
      <c r="O12" s="15">
        <v>0</v>
      </c>
      <c r="P12" s="14" t="s">
        <v>1045</v>
      </c>
      <c r="Q12" s="419">
        <v>0</v>
      </c>
      <c r="R12" s="417"/>
    </row>
    <row r="13" spans="1:18" ht="261">
      <c r="A13" s="13" t="s">
        <v>510</v>
      </c>
      <c r="B13" s="13" t="s">
        <v>479</v>
      </c>
      <c r="C13" s="13">
        <v>51310</v>
      </c>
      <c r="D13" s="14" t="s">
        <v>480</v>
      </c>
      <c r="E13" s="14" t="s">
        <v>481</v>
      </c>
      <c r="F13" s="14" t="s">
        <v>476</v>
      </c>
      <c r="G13" s="14" t="s">
        <v>511</v>
      </c>
      <c r="H13" s="14" t="s">
        <v>512</v>
      </c>
      <c r="I13" s="14" t="s">
        <v>24</v>
      </c>
      <c r="J13" s="14" t="s">
        <v>31</v>
      </c>
      <c r="K13" s="71" t="s">
        <v>33</v>
      </c>
      <c r="L13" s="71" t="s">
        <v>33</v>
      </c>
      <c r="M13" s="14" t="s">
        <v>25</v>
      </c>
      <c r="N13" s="15">
        <v>18540</v>
      </c>
      <c r="O13" s="15">
        <v>0</v>
      </c>
      <c r="P13" s="14" t="s">
        <v>1045</v>
      </c>
      <c r="Q13" s="419"/>
      <c r="R13" s="417" t="str">
        <f>P13</f>
        <v>Covered by Salary Saving budget.</v>
      </c>
    </row>
    <row r="14" spans="1:18" ht="145">
      <c r="A14" s="13" t="s">
        <v>513</v>
      </c>
      <c r="B14" s="13" t="s">
        <v>479</v>
      </c>
      <c r="C14" s="13">
        <v>59835</v>
      </c>
      <c r="D14" s="14" t="s">
        <v>480</v>
      </c>
      <c r="E14" s="14" t="s">
        <v>481</v>
      </c>
      <c r="F14" s="14" t="s">
        <v>476</v>
      </c>
      <c r="G14" s="14" t="s">
        <v>514</v>
      </c>
      <c r="H14" s="14" t="s">
        <v>515</v>
      </c>
      <c r="I14" s="14" t="s">
        <v>24</v>
      </c>
      <c r="J14" s="14" t="s">
        <v>370</v>
      </c>
      <c r="K14" s="71" t="s">
        <v>33</v>
      </c>
      <c r="L14" s="71" t="s">
        <v>33</v>
      </c>
      <c r="M14" s="14" t="s">
        <v>25</v>
      </c>
      <c r="N14" s="15">
        <v>500</v>
      </c>
      <c r="O14" s="15">
        <v>0</v>
      </c>
      <c r="P14" s="14"/>
      <c r="Q14" s="419">
        <v>0</v>
      </c>
      <c r="R14" s="417"/>
    </row>
    <row r="15" spans="1:18" ht="145">
      <c r="A15" s="13" t="s">
        <v>516</v>
      </c>
      <c r="B15" s="13" t="s">
        <v>479</v>
      </c>
      <c r="C15" s="13">
        <v>51310</v>
      </c>
      <c r="D15" s="14" t="s">
        <v>480</v>
      </c>
      <c r="E15" s="14" t="s">
        <v>481</v>
      </c>
      <c r="F15" s="14" t="s">
        <v>476</v>
      </c>
      <c r="G15" s="14" t="s">
        <v>517</v>
      </c>
      <c r="H15" s="14" t="s">
        <v>518</v>
      </c>
      <c r="I15" s="14" t="s">
        <v>24</v>
      </c>
      <c r="J15" s="14" t="s">
        <v>370</v>
      </c>
      <c r="K15" s="71" t="s">
        <v>32</v>
      </c>
      <c r="L15" s="71" t="s">
        <v>32</v>
      </c>
      <c r="M15" s="14" t="s">
        <v>64</v>
      </c>
      <c r="N15" s="15">
        <v>42744</v>
      </c>
      <c r="O15" s="15">
        <v>0</v>
      </c>
      <c r="P15" s="14" t="s">
        <v>1045</v>
      </c>
      <c r="Q15" s="419">
        <v>0</v>
      </c>
      <c r="R15" s="417" t="str">
        <f>P15</f>
        <v>Covered by Salary Saving budget.</v>
      </c>
    </row>
    <row r="16" spans="1:18" ht="145">
      <c r="A16" s="13" t="s">
        <v>519</v>
      </c>
      <c r="B16" s="13" t="s">
        <v>479</v>
      </c>
      <c r="C16" s="13">
        <v>51310</v>
      </c>
      <c r="D16" s="14" t="s">
        <v>480</v>
      </c>
      <c r="E16" s="14" t="s">
        <v>481</v>
      </c>
      <c r="F16" s="14" t="s">
        <v>476</v>
      </c>
      <c r="G16" s="14" t="s">
        <v>520</v>
      </c>
      <c r="H16" s="14" t="s">
        <v>521</v>
      </c>
      <c r="I16" s="14" t="s">
        <v>24</v>
      </c>
      <c r="J16" s="14" t="s">
        <v>370</v>
      </c>
      <c r="K16" s="71" t="s">
        <v>32</v>
      </c>
      <c r="L16" s="71" t="s">
        <v>32</v>
      </c>
      <c r="M16" s="14" t="s">
        <v>64</v>
      </c>
      <c r="N16" s="15">
        <v>42744</v>
      </c>
      <c r="O16" s="15">
        <v>0</v>
      </c>
      <c r="P16" s="14" t="s">
        <v>1045</v>
      </c>
      <c r="Q16" s="419">
        <v>0</v>
      </c>
      <c r="R16" s="417" t="str">
        <f>P16</f>
        <v>Covered by Salary Saving budget.</v>
      </c>
    </row>
    <row r="17" spans="1:18" ht="145">
      <c r="A17" s="13" t="s">
        <v>522</v>
      </c>
      <c r="B17" s="13" t="s">
        <v>523</v>
      </c>
      <c r="C17" s="13">
        <v>51310</v>
      </c>
      <c r="D17" s="14" t="s">
        <v>524</v>
      </c>
      <c r="E17" s="14" t="s">
        <v>525</v>
      </c>
      <c r="F17" s="14" t="s">
        <v>476</v>
      </c>
      <c r="G17" s="14" t="s">
        <v>526</v>
      </c>
      <c r="H17" s="14" t="s">
        <v>527</v>
      </c>
      <c r="I17" s="14" t="s">
        <v>24</v>
      </c>
      <c r="J17" s="14" t="s">
        <v>113</v>
      </c>
      <c r="K17" s="71" t="s">
        <v>32</v>
      </c>
      <c r="L17" s="71" t="s">
        <v>32</v>
      </c>
      <c r="M17" s="14" t="s">
        <v>25</v>
      </c>
      <c r="N17" s="15">
        <v>23500</v>
      </c>
      <c r="O17" s="15"/>
      <c r="P17" s="14" t="s">
        <v>1045</v>
      </c>
      <c r="Q17" s="419"/>
      <c r="R17" s="417" t="str">
        <f>P17</f>
        <v>Covered by Salary Saving budget.</v>
      </c>
    </row>
    <row r="18" spans="1:18" ht="178" customHeight="1">
      <c r="A18" s="13" t="s">
        <v>528</v>
      </c>
      <c r="B18" s="13" t="s">
        <v>498</v>
      </c>
      <c r="C18" s="13">
        <v>51310</v>
      </c>
      <c r="D18" s="14" t="s">
        <v>499</v>
      </c>
      <c r="E18" s="14" t="s">
        <v>500</v>
      </c>
      <c r="F18" s="14" t="s">
        <v>476</v>
      </c>
      <c r="G18" s="14" t="s">
        <v>529</v>
      </c>
      <c r="H18" s="14" t="s">
        <v>530</v>
      </c>
      <c r="I18" s="14" t="s">
        <v>24</v>
      </c>
      <c r="J18" s="14" t="s">
        <v>31</v>
      </c>
      <c r="K18" s="71" t="s">
        <v>32</v>
      </c>
      <c r="L18" s="71" t="s">
        <v>33</v>
      </c>
      <c r="M18" s="14" t="s">
        <v>25</v>
      </c>
      <c r="N18" s="15">
        <v>70000</v>
      </c>
      <c r="O18" s="15">
        <f>24302</f>
        <v>24302</v>
      </c>
      <c r="P18" s="14"/>
      <c r="Q18" s="419">
        <f>O18</f>
        <v>24302</v>
      </c>
      <c r="R18" s="417"/>
    </row>
    <row r="19" spans="1:18" ht="22.5" customHeight="1">
      <c r="A19" s="78"/>
      <c r="B19" s="78"/>
      <c r="C19" s="78"/>
      <c r="D19" s="79"/>
      <c r="E19" s="79"/>
      <c r="F19" s="79"/>
      <c r="G19" s="79"/>
      <c r="H19" s="79"/>
      <c r="I19" s="79"/>
      <c r="J19" s="79"/>
      <c r="K19" s="347"/>
      <c r="L19" s="348" t="s">
        <v>102</v>
      </c>
      <c r="M19" s="79"/>
      <c r="N19" s="80">
        <f>SUM(N4:N18)</f>
        <v>262778</v>
      </c>
      <c r="O19" s="321">
        <f>SUM(O4:O18)</f>
        <v>86052</v>
      </c>
      <c r="P19" s="79"/>
      <c r="Q19" s="442">
        <f>SUM(Q4:Q18)</f>
        <v>86052</v>
      </c>
      <c r="R19" s="443"/>
    </row>
    <row r="20" spans="1:18" ht="20.149999999999999" customHeight="1">
      <c r="O20" s="118"/>
      <c r="Q20" s="118"/>
    </row>
    <row r="85" spans="19:19">
      <c r="S85" s="55"/>
    </row>
    <row r="86" spans="19:19">
      <c r="S86" s="314"/>
    </row>
    <row r="87" spans="19:19">
      <c r="S87" s="315"/>
    </row>
    <row r="88" spans="19:19">
      <c r="S88" s="315"/>
    </row>
    <row r="89" spans="19:19">
      <c r="S89" s="315"/>
    </row>
    <row r="90" spans="19:19">
      <c r="S90" s="315"/>
    </row>
    <row r="91" spans="19:19">
      <c r="S91" s="315"/>
    </row>
    <row r="92" spans="19:19">
      <c r="S92" s="315"/>
    </row>
    <row r="93" spans="19:19">
      <c r="S93" s="315"/>
    </row>
    <row r="94" spans="19:19">
      <c r="S94" s="315"/>
    </row>
    <row r="95" spans="19:19">
      <c r="S95" s="315"/>
    </row>
    <row r="96" spans="19:19">
      <c r="S96" s="315"/>
    </row>
    <row r="97" spans="19:19">
      <c r="S97" s="315"/>
    </row>
    <row r="98" spans="19:19">
      <c r="S98" s="315"/>
    </row>
    <row r="99" spans="19:19">
      <c r="S99" s="315"/>
    </row>
    <row r="100" spans="19:19">
      <c r="S100" s="315"/>
    </row>
    <row r="101" spans="19:19">
      <c r="S101" s="315"/>
    </row>
    <row r="102" spans="19:19">
      <c r="S102" s="315"/>
    </row>
  </sheetData>
  <pageMargins left="0.25" right="0.25" top="0.75" bottom="0.75" header="0.3" footer="0.3"/>
  <pageSetup paperSize="5" scale="67" fitToHeight="0" orientation="landscape" r:id="rId1"/>
  <headerFooter>
    <oddHeader xml:space="preserve">&amp;L&amp;"-,Bold"&amp;12FY20 COLLEGE BUDGET DEVELOPMENT - PRESIDENT STAFF OFFICE
&amp;"-,Regular"&amp;11
</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2"/>
  <sheetViews>
    <sheetView topLeftCell="A10" zoomScale="90" zoomScaleNormal="90" workbookViewId="0">
      <selection activeCell="D21" sqref="D21"/>
    </sheetView>
  </sheetViews>
  <sheetFormatPr defaultColWidth="9.1796875" defaultRowHeight="14.5"/>
  <cols>
    <col min="1" max="1" width="9.1796875" style="35"/>
    <col min="2" max="2" width="11.81640625" style="2" customWidth="1"/>
    <col min="3" max="3" width="9.1796875" customWidth="1"/>
    <col min="4" max="5" width="18.54296875" style="2" customWidth="1"/>
    <col min="6" max="6" width="21.54296875" style="2" customWidth="1"/>
    <col min="7" max="7" width="92.453125" style="2" customWidth="1"/>
    <col min="8" max="8" width="11.7265625" style="2" hidden="1" customWidth="1"/>
    <col min="9" max="9" width="28.54296875" style="2" customWidth="1"/>
    <col min="10" max="10" width="9.54296875" style="36" bestFit="1" customWidth="1"/>
    <col min="11" max="11" width="10.54296875" style="36" bestFit="1" customWidth="1"/>
    <col min="12" max="12" width="11.54296875" style="2" customWidth="1"/>
    <col min="13" max="13" width="9.54296875" bestFit="1" customWidth="1"/>
    <col min="15" max="15" width="11" customWidth="1"/>
    <col min="16" max="16" width="11.54296875" customWidth="1"/>
    <col min="17" max="17" width="8.54296875" style="65" customWidth="1"/>
    <col min="18" max="18" width="11" customWidth="1"/>
    <col min="19" max="19" width="10.26953125" style="65" customWidth="1"/>
  </cols>
  <sheetData>
    <row r="1" spans="1:19" ht="27.75" customHeight="1" thickBot="1">
      <c r="A1" s="288" t="s">
        <v>887</v>
      </c>
    </row>
    <row r="2" spans="1:19" s="7" customFormat="1" ht="48.65" customHeight="1">
      <c r="A2" s="289" t="s">
        <v>1</v>
      </c>
      <c r="B2" s="290" t="s">
        <v>2</v>
      </c>
      <c r="C2" s="291" t="s">
        <v>3</v>
      </c>
      <c r="D2" s="290" t="s">
        <v>4</v>
      </c>
      <c r="E2" s="290" t="s">
        <v>5</v>
      </c>
      <c r="F2" s="290" t="s">
        <v>7</v>
      </c>
      <c r="G2" s="290" t="s">
        <v>8</v>
      </c>
      <c r="H2" s="290" t="s">
        <v>9</v>
      </c>
      <c r="I2" s="290" t="s">
        <v>471</v>
      </c>
      <c r="J2" s="292" t="s">
        <v>11</v>
      </c>
      <c r="K2" s="292" t="s">
        <v>12</v>
      </c>
      <c r="L2" s="290" t="s">
        <v>13</v>
      </c>
      <c r="M2" s="290" t="s">
        <v>658</v>
      </c>
      <c r="N2" s="291" t="s">
        <v>659</v>
      </c>
      <c r="O2" s="292" t="s">
        <v>14</v>
      </c>
      <c r="P2" s="292" t="s">
        <v>1011</v>
      </c>
      <c r="Q2" s="293" t="s">
        <v>105</v>
      </c>
      <c r="R2" s="444" t="s">
        <v>1012</v>
      </c>
      <c r="S2" s="414" t="s">
        <v>105</v>
      </c>
    </row>
    <row r="3" spans="1:19" ht="409.5">
      <c r="A3" s="21" t="s">
        <v>447</v>
      </c>
      <c r="B3" s="14" t="s">
        <v>256</v>
      </c>
      <c r="C3" s="13">
        <v>51130</v>
      </c>
      <c r="D3" s="14" t="s">
        <v>1061</v>
      </c>
      <c r="E3" s="14" t="s">
        <v>449</v>
      </c>
      <c r="F3" s="14" t="s">
        <v>450</v>
      </c>
      <c r="G3" s="14" t="s">
        <v>451</v>
      </c>
      <c r="H3" s="14" t="s">
        <v>24</v>
      </c>
      <c r="I3" s="14" t="s">
        <v>158</v>
      </c>
      <c r="J3" s="71" t="s">
        <v>33</v>
      </c>
      <c r="K3" s="71" t="s">
        <v>32</v>
      </c>
      <c r="L3" s="14" t="s">
        <v>25</v>
      </c>
      <c r="M3" s="15">
        <v>85000</v>
      </c>
      <c r="N3" s="13">
        <v>1</v>
      </c>
      <c r="O3" s="15">
        <v>85000</v>
      </c>
      <c r="P3" s="15">
        <v>85000</v>
      </c>
      <c r="Q3" s="230"/>
      <c r="R3" s="419">
        <f>P3</f>
        <v>85000</v>
      </c>
      <c r="S3" s="445"/>
    </row>
    <row r="4" spans="1:19" ht="60" customHeight="1">
      <c r="A4" s="21" t="s">
        <v>888</v>
      </c>
      <c r="B4" s="14" t="s">
        <v>151</v>
      </c>
      <c r="C4" s="13">
        <v>51310</v>
      </c>
      <c r="D4" s="294" t="s">
        <v>1061</v>
      </c>
      <c r="E4" s="14" t="s">
        <v>889</v>
      </c>
      <c r="F4" s="14" t="s">
        <v>890</v>
      </c>
      <c r="G4" s="14" t="s">
        <v>891</v>
      </c>
      <c r="H4" s="14" t="s">
        <v>157</v>
      </c>
      <c r="I4" s="14" t="s">
        <v>158</v>
      </c>
      <c r="J4" s="71" t="s">
        <v>33</v>
      </c>
      <c r="K4" s="71" t="s">
        <v>33</v>
      </c>
      <c r="L4" s="14" t="s">
        <v>25</v>
      </c>
      <c r="M4" s="13">
        <v>10000</v>
      </c>
      <c r="N4" s="13">
        <v>1</v>
      </c>
      <c r="O4" s="15">
        <v>10000</v>
      </c>
      <c r="P4" s="15">
        <v>9400</v>
      </c>
      <c r="Q4" s="230"/>
      <c r="R4" s="419">
        <f>P4</f>
        <v>9400</v>
      </c>
      <c r="S4" s="445"/>
    </row>
    <row r="5" spans="1:19" ht="58">
      <c r="A5" s="21" t="s">
        <v>892</v>
      </c>
      <c r="B5" s="14" t="s">
        <v>151</v>
      </c>
      <c r="C5" s="13">
        <v>51230</v>
      </c>
      <c r="D5" s="14" t="s">
        <v>1061</v>
      </c>
      <c r="E5" s="14" t="s">
        <v>153</v>
      </c>
      <c r="F5" s="14" t="s">
        <v>893</v>
      </c>
      <c r="G5" s="14" t="s">
        <v>894</v>
      </c>
      <c r="H5" s="14" t="s">
        <v>157</v>
      </c>
      <c r="I5" s="14" t="s">
        <v>31</v>
      </c>
      <c r="J5" s="71" t="s">
        <v>33</v>
      </c>
      <c r="K5" s="71" t="s">
        <v>33</v>
      </c>
      <c r="L5" s="14" t="s">
        <v>64</v>
      </c>
      <c r="M5" s="13">
        <v>42406</v>
      </c>
      <c r="N5" s="13">
        <v>1</v>
      </c>
      <c r="O5" s="15">
        <v>42406</v>
      </c>
      <c r="P5" s="15">
        <v>35000</v>
      </c>
      <c r="Q5" s="230"/>
      <c r="R5" s="419">
        <f>P5</f>
        <v>35000</v>
      </c>
      <c r="S5" s="445"/>
    </row>
    <row r="6" spans="1:19" ht="87">
      <c r="A6" s="21" t="s">
        <v>150</v>
      </c>
      <c r="B6" s="14" t="s">
        <v>151</v>
      </c>
      <c r="C6" s="13">
        <v>55400</v>
      </c>
      <c r="D6" s="14"/>
      <c r="E6" s="14" t="s">
        <v>153</v>
      </c>
      <c r="F6" s="14" t="s">
        <v>155</v>
      </c>
      <c r="G6" s="14" t="s">
        <v>895</v>
      </c>
      <c r="H6" s="14" t="s">
        <v>157</v>
      </c>
      <c r="I6" s="14" t="s">
        <v>158</v>
      </c>
      <c r="J6" s="71" t="s">
        <v>33</v>
      </c>
      <c r="K6" s="71" t="s">
        <v>33</v>
      </c>
      <c r="L6" s="14" t="s">
        <v>65</v>
      </c>
      <c r="M6" s="13">
        <v>1683</v>
      </c>
      <c r="N6" s="13">
        <v>1</v>
      </c>
      <c r="O6" s="15">
        <v>1683</v>
      </c>
      <c r="P6" s="15"/>
      <c r="Q6" s="230"/>
      <c r="R6" s="419"/>
      <c r="S6" s="445"/>
    </row>
    <row r="7" spans="1:19" ht="72.5">
      <c r="A7" s="21" t="s">
        <v>896</v>
      </c>
      <c r="B7" s="14" t="s">
        <v>151</v>
      </c>
      <c r="C7" s="13">
        <v>59835</v>
      </c>
      <c r="D7" s="14"/>
      <c r="E7" s="14" t="s">
        <v>153</v>
      </c>
      <c r="F7" s="14" t="s">
        <v>897</v>
      </c>
      <c r="G7" s="14" t="s">
        <v>898</v>
      </c>
      <c r="H7" s="14" t="s">
        <v>157</v>
      </c>
      <c r="I7" s="14" t="s">
        <v>158</v>
      </c>
      <c r="J7" s="71" t="s">
        <v>32</v>
      </c>
      <c r="K7" s="57" t="s">
        <v>33</v>
      </c>
      <c r="L7" s="14" t="s">
        <v>25</v>
      </c>
      <c r="M7" s="13">
        <v>500</v>
      </c>
      <c r="N7" s="13">
        <v>20</v>
      </c>
      <c r="O7" s="15">
        <v>10000</v>
      </c>
      <c r="P7" s="15"/>
      <c r="Q7" s="230"/>
      <c r="R7" s="419"/>
      <c r="S7" s="445"/>
    </row>
    <row r="8" spans="1:19" ht="409.5">
      <c r="A8" s="21" t="s">
        <v>899</v>
      </c>
      <c r="B8" s="14" t="s">
        <v>193</v>
      </c>
      <c r="C8" s="13">
        <v>51111</v>
      </c>
      <c r="D8" s="14"/>
      <c r="E8" s="14" t="s">
        <v>356</v>
      </c>
      <c r="F8" s="14" t="s">
        <v>900</v>
      </c>
      <c r="G8" s="14" t="s">
        <v>901</v>
      </c>
      <c r="H8" s="14" t="s">
        <v>157</v>
      </c>
      <c r="I8" s="14" t="s">
        <v>158</v>
      </c>
      <c r="J8" s="71" t="s">
        <v>32</v>
      </c>
      <c r="K8" s="71" t="s">
        <v>32</v>
      </c>
      <c r="L8" s="14" t="s">
        <v>53</v>
      </c>
      <c r="M8" s="13">
        <v>94000</v>
      </c>
      <c r="N8" s="13">
        <v>1</v>
      </c>
      <c r="O8" s="15">
        <v>94000</v>
      </c>
      <c r="P8" s="15"/>
      <c r="Q8" s="230"/>
      <c r="R8" s="419"/>
      <c r="S8" s="445"/>
    </row>
    <row r="9" spans="1:19" ht="106" customHeight="1">
      <c r="A9" s="21" t="s">
        <v>902</v>
      </c>
      <c r="B9" s="14" t="s">
        <v>193</v>
      </c>
      <c r="C9" s="13">
        <v>51130</v>
      </c>
      <c r="D9" s="14" t="s">
        <v>1061</v>
      </c>
      <c r="E9" s="14" t="s">
        <v>367</v>
      </c>
      <c r="F9" s="14" t="s">
        <v>903</v>
      </c>
      <c r="G9" s="14" t="s">
        <v>904</v>
      </c>
      <c r="H9" s="14" t="s">
        <v>157</v>
      </c>
      <c r="I9" s="14" t="s">
        <v>158</v>
      </c>
      <c r="J9" s="71" t="s">
        <v>33</v>
      </c>
      <c r="K9" s="71" t="s">
        <v>33</v>
      </c>
      <c r="L9" s="14" t="s">
        <v>25</v>
      </c>
      <c r="M9" s="13">
        <v>5000</v>
      </c>
      <c r="N9" s="13">
        <v>20</v>
      </c>
      <c r="O9" s="15">
        <v>100000</v>
      </c>
      <c r="P9" s="15">
        <v>10000</v>
      </c>
      <c r="Q9" s="230"/>
      <c r="R9" s="419">
        <f>P9</f>
        <v>10000</v>
      </c>
      <c r="S9" s="445"/>
    </row>
    <row r="10" spans="1:19" ht="72.5">
      <c r="A10" s="21" t="s">
        <v>365</v>
      </c>
      <c r="B10" s="14" t="s">
        <v>193</v>
      </c>
      <c r="C10" s="13">
        <v>51230</v>
      </c>
      <c r="D10" s="14" t="s">
        <v>1061</v>
      </c>
      <c r="E10" s="14" t="s">
        <v>367</v>
      </c>
      <c r="F10" s="14" t="s">
        <v>368</v>
      </c>
      <c r="G10" s="14" t="s">
        <v>369</v>
      </c>
      <c r="H10" s="14" t="s">
        <v>24</v>
      </c>
      <c r="I10" s="14" t="s">
        <v>370</v>
      </c>
      <c r="J10" s="71" t="s">
        <v>32</v>
      </c>
      <c r="K10" s="71" t="s">
        <v>33</v>
      </c>
      <c r="L10" s="14" t="s">
        <v>45</v>
      </c>
      <c r="M10" s="13">
        <v>20000</v>
      </c>
      <c r="N10" s="13">
        <v>1</v>
      </c>
      <c r="O10" s="15">
        <v>20000</v>
      </c>
      <c r="P10" s="15">
        <v>26000</v>
      </c>
      <c r="Q10" s="230"/>
      <c r="R10" s="419">
        <f>P10</f>
        <v>26000</v>
      </c>
      <c r="S10" s="445"/>
    </row>
    <row r="11" spans="1:19" ht="78" customHeight="1">
      <c r="A11" s="21" t="s">
        <v>905</v>
      </c>
      <c r="B11" s="14" t="s">
        <v>193</v>
      </c>
      <c r="C11" s="13">
        <v>51310</v>
      </c>
      <c r="D11" s="14" t="s">
        <v>1061</v>
      </c>
      <c r="E11" s="14" t="s">
        <v>367</v>
      </c>
      <c r="F11" s="14" t="s">
        <v>906</v>
      </c>
      <c r="G11" s="14" t="s">
        <v>907</v>
      </c>
      <c r="H11" s="14" t="s">
        <v>157</v>
      </c>
      <c r="I11" s="14" t="s">
        <v>158</v>
      </c>
      <c r="J11" s="71" t="s">
        <v>32</v>
      </c>
      <c r="K11" s="71" t="s">
        <v>33</v>
      </c>
      <c r="L11" s="14" t="s">
        <v>56</v>
      </c>
      <c r="M11" s="13">
        <v>30000</v>
      </c>
      <c r="N11" s="13">
        <v>1</v>
      </c>
      <c r="O11" s="15">
        <v>30000</v>
      </c>
      <c r="P11" s="15">
        <v>3000</v>
      </c>
      <c r="Q11" s="230"/>
      <c r="R11" s="419">
        <f>P11</f>
        <v>3000</v>
      </c>
      <c r="S11" s="445"/>
    </row>
    <row r="12" spans="1:19" ht="58">
      <c r="A12" s="21" t="s">
        <v>908</v>
      </c>
      <c r="B12" s="14" t="s">
        <v>193</v>
      </c>
      <c r="C12" s="13">
        <v>53210</v>
      </c>
      <c r="D12" s="14"/>
      <c r="E12" s="14" t="s">
        <v>367</v>
      </c>
      <c r="F12" s="14" t="s">
        <v>909</v>
      </c>
      <c r="G12" s="14" t="s">
        <v>910</v>
      </c>
      <c r="H12" s="14" t="s">
        <v>157</v>
      </c>
      <c r="I12" s="14" t="s">
        <v>158</v>
      </c>
      <c r="J12" s="71" t="s">
        <v>33</v>
      </c>
      <c r="K12" s="71" t="s">
        <v>33</v>
      </c>
      <c r="L12" s="14" t="s">
        <v>191</v>
      </c>
      <c r="M12" s="13">
        <v>2000</v>
      </c>
      <c r="N12" s="13">
        <v>50</v>
      </c>
      <c r="O12" s="15">
        <v>100000</v>
      </c>
      <c r="P12" s="15"/>
      <c r="Q12" s="230"/>
      <c r="R12" s="419"/>
      <c r="S12" s="445"/>
    </row>
    <row r="13" spans="1:19" ht="58">
      <c r="A13" s="21" t="s">
        <v>911</v>
      </c>
      <c r="B13" s="14" t="s">
        <v>176</v>
      </c>
      <c r="C13" s="13">
        <v>51130</v>
      </c>
      <c r="D13" s="14"/>
      <c r="E13" s="14" t="s">
        <v>178</v>
      </c>
      <c r="F13" s="14" t="s">
        <v>912</v>
      </c>
      <c r="G13" s="14" t="s">
        <v>913</v>
      </c>
      <c r="H13" s="14" t="s">
        <v>157</v>
      </c>
      <c r="I13" s="14" t="s">
        <v>31</v>
      </c>
      <c r="J13" s="71" t="s">
        <v>32</v>
      </c>
      <c r="K13" s="71" t="s">
        <v>33</v>
      </c>
      <c r="L13" s="14" t="s">
        <v>233</v>
      </c>
      <c r="M13" s="13">
        <v>60000</v>
      </c>
      <c r="N13" s="13">
        <v>1</v>
      </c>
      <c r="O13" s="15">
        <v>60000</v>
      </c>
      <c r="P13" s="15"/>
      <c r="Q13" s="230"/>
      <c r="R13" s="419"/>
      <c r="S13" s="445"/>
    </row>
    <row r="14" spans="1:19" ht="58">
      <c r="A14" s="21" t="s">
        <v>914</v>
      </c>
      <c r="B14" s="14" t="s">
        <v>176</v>
      </c>
      <c r="C14" s="13">
        <v>57705</v>
      </c>
      <c r="D14" s="14"/>
      <c r="E14" s="14" t="s">
        <v>178</v>
      </c>
      <c r="F14" s="14" t="s">
        <v>915</v>
      </c>
      <c r="G14" s="14" t="s">
        <v>916</v>
      </c>
      <c r="H14" s="14" t="s">
        <v>157</v>
      </c>
      <c r="I14" s="14" t="s">
        <v>31</v>
      </c>
      <c r="J14" s="71" t="s">
        <v>32</v>
      </c>
      <c r="K14" s="71" t="s">
        <v>33</v>
      </c>
      <c r="L14" s="14" t="s">
        <v>233</v>
      </c>
      <c r="M14" s="13">
        <v>8000</v>
      </c>
      <c r="N14" s="13">
        <v>1</v>
      </c>
      <c r="O14" s="15">
        <v>8000</v>
      </c>
      <c r="P14" s="15"/>
      <c r="Q14" s="230"/>
      <c r="R14" s="419"/>
      <c r="S14" s="445"/>
    </row>
    <row r="15" spans="1:19" ht="43.5">
      <c r="A15" s="21" t="s">
        <v>917</v>
      </c>
      <c r="B15" s="14" t="s">
        <v>748</v>
      </c>
      <c r="C15" s="13">
        <v>51310</v>
      </c>
      <c r="D15" s="14" t="s">
        <v>1061</v>
      </c>
      <c r="E15" s="14" t="s">
        <v>750</v>
      </c>
      <c r="F15" s="14" t="s">
        <v>918</v>
      </c>
      <c r="G15" s="14" t="s">
        <v>919</v>
      </c>
      <c r="H15" s="14" t="s">
        <v>157</v>
      </c>
      <c r="I15" s="14" t="s">
        <v>158</v>
      </c>
      <c r="J15" s="71" t="s">
        <v>33</v>
      </c>
      <c r="K15" s="71" t="s">
        <v>33</v>
      </c>
      <c r="L15" s="14" t="s">
        <v>64</v>
      </c>
      <c r="M15" s="13">
        <v>12500</v>
      </c>
      <c r="N15" s="13">
        <v>2</v>
      </c>
      <c r="O15" s="15">
        <v>25000</v>
      </c>
      <c r="P15" s="15">
        <v>13000</v>
      </c>
      <c r="Q15" s="230"/>
      <c r="R15" s="419">
        <f>P15</f>
        <v>13000</v>
      </c>
      <c r="S15" s="445"/>
    </row>
    <row r="16" spans="1:19" ht="43.5">
      <c r="A16" s="21" t="s">
        <v>920</v>
      </c>
      <c r="B16" s="14" t="s">
        <v>921</v>
      </c>
      <c r="C16" s="13">
        <v>51111</v>
      </c>
      <c r="D16" s="14"/>
      <c r="E16" s="14" t="s">
        <v>922</v>
      </c>
      <c r="F16" s="14" t="s">
        <v>923</v>
      </c>
      <c r="G16" s="14" t="s">
        <v>924</v>
      </c>
      <c r="H16" s="14" t="s">
        <v>157</v>
      </c>
      <c r="I16" s="14" t="s">
        <v>158</v>
      </c>
      <c r="J16" s="71" t="s">
        <v>32</v>
      </c>
      <c r="K16" s="71" t="s">
        <v>33</v>
      </c>
      <c r="L16" s="14" t="s">
        <v>233</v>
      </c>
      <c r="M16" s="13">
        <v>94000</v>
      </c>
      <c r="N16" s="13">
        <v>1</v>
      </c>
      <c r="O16" s="15">
        <v>94000</v>
      </c>
      <c r="P16" s="15"/>
      <c r="Q16" s="230"/>
      <c r="R16" s="419"/>
      <c r="S16" s="445"/>
    </row>
    <row r="17" spans="1:23" s="302" customFormat="1" ht="15.75" customHeight="1">
      <c r="A17" s="21" t="s">
        <v>34</v>
      </c>
      <c r="B17" s="296" t="s">
        <v>193</v>
      </c>
      <c r="C17" s="295">
        <v>51230</v>
      </c>
      <c r="D17" s="295" t="s">
        <v>1061</v>
      </c>
      <c r="E17" s="296" t="s">
        <v>367</v>
      </c>
      <c r="F17" s="296" t="s">
        <v>925</v>
      </c>
      <c r="G17" s="296" t="s">
        <v>925</v>
      </c>
      <c r="H17" s="296" t="s">
        <v>926</v>
      </c>
      <c r="I17" s="296" t="s">
        <v>25</v>
      </c>
      <c r="J17" s="297"/>
      <c r="K17" s="298"/>
      <c r="L17" s="299"/>
      <c r="M17" s="300"/>
      <c r="N17" s="300"/>
      <c r="O17" s="300">
        <v>53781</v>
      </c>
      <c r="P17" s="300">
        <v>53781</v>
      </c>
      <c r="Q17" s="301"/>
      <c r="R17" s="446">
        <f>P17</f>
        <v>53781</v>
      </c>
      <c r="S17" s="447"/>
      <c r="T17"/>
      <c r="U17"/>
      <c r="V17"/>
      <c r="W17"/>
    </row>
    <row r="18" spans="1:23" s="302" customFormat="1" ht="46.5">
      <c r="A18" s="21" t="s">
        <v>971</v>
      </c>
      <c r="B18" s="304" t="s">
        <v>927</v>
      </c>
      <c r="C18" s="295"/>
      <c r="D18" s="296" t="s">
        <v>1061</v>
      </c>
      <c r="E18" s="296" t="s">
        <v>178</v>
      </c>
      <c r="F18" s="304" t="s">
        <v>928</v>
      </c>
      <c r="G18" s="303" t="s">
        <v>929</v>
      </c>
      <c r="H18" s="304" t="s">
        <v>63</v>
      </c>
      <c r="I18" s="296" t="s">
        <v>25</v>
      </c>
      <c r="J18" s="305"/>
      <c r="K18" s="306"/>
      <c r="L18" s="307"/>
      <c r="M18" s="308"/>
      <c r="N18" s="308"/>
      <c r="O18" s="308">
        <v>10000</v>
      </c>
      <c r="P18" s="308">
        <v>10000</v>
      </c>
      <c r="Q18" s="301"/>
      <c r="R18" s="448">
        <f>P18</f>
        <v>10000</v>
      </c>
      <c r="S18" s="447"/>
      <c r="T18"/>
      <c r="U18"/>
      <c r="V18"/>
      <c r="W18"/>
    </row>
    <row r="19" spans="1:23" s="302" customFormat="1" ht="15.75" customHeight="1">
      <c r="A19" s="21" t="s">
        <v>972</v>
      </c>
      <c r="B19" s="296" t="s">
        <v>193</v>
      </c>
      <c r="C19" s="295"/>
      <c r="D19" s="295" t="s">
        <v>1061</v>
      </c>
      <c r="E19" s="296" t="s">
        <v>930</v>
      </c>
      <c r="F19" s="296" t="s">
        <v>931</v>
      </c>
      <c r="G19" s="295" t="s">
        <v>932</v>
      </c>
      <c r="H19" s="304" t="s">
        <v>63</v>
      </c>
      <c r="I19" s="296" t="s">
        <v>933</v>
      </c>
      <c r="J19" s="297"/>
      <c r="K19" s="298"/>
      <c r="L19" s="299"/>
      <c r="M19" s="300"/>
      <c r="N19" s="300"/>
      <c r="O19" s="300">
        <v>10000</v>
      </c>
      <c r="P19" s="300">
        <v>10000</v>
      </c>
      <c r="Q19" s="301"/>
      <c r="R19" s="446">
        <f>P19</f>
        <v>10000</v>
      </c>
      <c r="S19" s="447"/>
      <c r="T19"/>
      <c r="U19"/>
      <c r="V19"/>
      <c r="W19"/>
    </row>
    <row r="20" spans="1:23" s="302" customFormat="1" ht="15.75" customHeight="1">
      <c r="A20" s="21" t="s">
        <v>973</v>
      </c>
      <c r="B20" s="296" t="s">
        <v>166</v>
      </c>
      <c r="C20" s="295"/>
      <c r="D20" s="295" t="s">
        <v>1061</v>
      </c>
      <c r="E20" s="296" t="s">
        <v>154</v>
      </c>
      <c r="F20" s="296" t="s">
        <v>934</v>
      </c>
      <c r="G20" s="295" t="s">
        <v>935</v>
      </c>
      <c r="H20" s="304" t="s">
        <v>63</v>
      </c>
      <c r="I20" s="296" t="s">
        <v>933</v>
      </c>
      <c r="J20" s="297"/>
      <c r="K20" s="298"/>
      <c r="L20" s="299"/>
      <c r="M20" s="300"/>
      <c r="N20" s="300"/>
      <c r="O20" s="300">
        <v>33617</v>
      </c>
      <c r="P20" s="300">
        <v>33617</v>
      </c>
      <c r="Q20" s="309"/>
      <c r="R20" s="446">
        <f>P20</f>
        <v>33617</v>
      </c>
      <c r="S20" s="449"/>
      <c r="T20"/>
      <c r="U20"/>
      <c r="V20"/>
      <c r="W20"/>
    </row>
    <row r="21" spans="1:23" ht="33" customHeight="1" thickBot="1">
      <c r="A21" s="452"/>
      <c r="B21" s="453"/>
      <c r="C21" s="454"/>
      <c r="D21" s="453"/>
      <c r="E21" s="453"/>
      <c r="F21" s="453"/>
      <c r="G21" s="453"/>
      <c r="H21" s="453"/>
      <c r="I21" s="453"/>
      <c r="J21" s="455"/>
      <c r="K21" s="455"/>
      <c r="L21" s="453"/>
      <c r="M21" s="454" t="s">
        <v>598</v>
      </c>
      <c r="N21" s="454"/>
      <c r="O21" s="456">
        <f>SUM(O3:O20)</f>
        <v>787487</v>
      </c>
      <c r="P21" s="456">
        <f>SUM(P3:P20)</f>
        <v>288798</v>
      </c>
      <c r="Q21" s="457"/>
      <c r="R21" s="450">
        <f>SUM(R3:R20)</f>
        <v>288798</v>
      </c>
      <c r="S21" s="451"/>
    </row>
    <row r="85" spans="17:19">
      <c r="Q85" s="55"/>
      <c r="S85" s="55"/>
    </row>
    <row r="86" spans="17:19">
      <c r="Q86" s="314"/>
      <c r="S86" s="314"/>
    </row>
    <row r="87" spans="17:19">
      <c r="Q87" s="315"/>
      <c r="S87" s="315"/>
    </row>
    <row r="88" spans="17:19">
      <c r="Q88" s="315"/>
      <c r="S88" s="315"/>
    </row>
    <row r="89" spans="17:19">
      <c r="Q89" s="315"/>
      <c r="S89" s="315"/>
    </row>
    <row r="90" spans="17:19">
      <c r="Q90" s="315"/>
      <c r="S90" s="315"/>
    </row>
    <row r="91" spans="17:19">
      <c r="Q91" s="315"/>
      <c r="S91" s="315"/>
    </row>
    <row r="92" spans="17:19">
      <c r="Q92" s="315"/>
      <c r="S92" s="315"/>
    </row>
    <row r="93" spans="17:19">
      <c r="Q93" s="315"/>
      <c r="S93" s="315"/>
    </row>
    <row r="94" spans="17:19">
      <c r="Q94" s="315"/>
      <c r="S94" s="315"/>
    </row>
    <row r="95" spans="17:19">
      <c r="Q95" s="315"/>
      <c r="S95" s="315"/>
    </row>
    <row r="96" spans="17:19">
      <c r="Q96" s="315"/>
      <c r="S96" s="315"/>
    </row>
    <row r="97" spans="17:19">
      <c r="Q97" s="315"/>
      <c r="S97" s="315"/>
    </row>
    <row r="98" spans="17:19">
      <c r="Q98" s="315"/>
      <c r="S98" s="315"/>
    </row>
    <row r="99" spans="17:19">
      <c r="Q99" s="315"/>
      <c r="S99" s="315"/>
    </row>
    <row r="100" spans="17:19">
      <c r="Q100" s="315"/>
      <c r="S100" s="315"/>
    </row>
    <row r="101" spans="17:19">
      <c r="Q101" s="315"/>
      <c r="S101" s="315"/>
    </row>
    <row r="102" spans="17:19">
      <c r="Q102" s="315"/>
      <c r="S102" s="315"/>
    </row>
  </sheetData>
  <conditionalFormatting sqref="Q17:Q20">
    <cfRule type="cellIs" dxfId="7" priority="5" operator="equal">
      <formula>1</formula>
    </cfRule>
  </conditionalFormatting>
  <conditionalFormatting sqref="Q17:Q20">
    <cfRule type="cellIs" dxfId="6" priority="6" operator="equal">
      <formula>2</formula>
    </cfRule>
  </conditionalFormatting>
  <conditionalFormatting sqref="Q17:Q20">
    <cfRule type="cellIs" dxfId="5" priority="7" operator="equal">
      <formula>3</formula>
    </cfRule>
  </conditionalFormatting>
  <conditionalFormatting sqref="Q17:Q20">
    <cfRule type="cellIs" dxfId="4" priority="8" operator="equal">
      <formula>4</formula>
    </cfRule>
  </conditionalFormatting>
  <conditionalFormatting sqref="S17:S20">
    <cfRule type="cellIs" dxfId="3" priority="1" operator="equal">
      <formula>1</formula>
    </cfRule>
  </conditionalFormatting>
  <conditionalFormatting sqref="S17:S20">
    <cfRule type="cellIs" dxfId="2" priority="2" operator="equal">
      <formula>2</formula>
    </cfRule>
  </conditionalFormatting>
  <conditionalFormatting sqref="S17:S20">
    <cfRule type="cellIs" dxfId="1" priority="3" operator="equal">
      <formula>3</formula>
    </cfRule>
  </conditionalFormatting>
  <conditionalFormatting sqref="S17:S20">
    <cfRule type="cellIs" dxfId="0" priority="4" operator="equal">
      <formula>4</formula>
    </cfRule>
  </conditionalFormatting>
  <pageMargins left="0.25" right="0.25" top="0.75" bottom="0.75" header="0.3" footer="0.3"/>
  <pageSetup paperSize="5" scale="60" fitToHeight="0"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8"/>
  <sheetViews>
    <sheetView topLeftCell="A10" zoomScale="80" zoomScaleNormal="80" workbookViewId="0">
      <selection activeCell="G12" sqref="G12"/>
    </sheetView>
  </sheetViews>
  <sheetFormatPr defaultRowHeight="14.5"/>
  <cols>
    <col min="1" max="1" width="10.453125" style="35" customWidth="1"/>
    <col min="2" max="2" width="10" style="2" customWidth="1"/>
    <col min="3" max="3" width="9.1796875" customWidth="1"/>
    <col min="4" max="4" width="18.54296875" style="2" customWidth="1"/>
    <col min="5" max="5" width="17" style="2" customWidth="1"/>
    <col min="6" max="6" width="7.7265625" style="226" bestFit="1" customWidth="1"/>
    <col min="7" max="7" width="23.453125" style="2" customWidth="1"/>
    <col min="8" max="8" width="70" style="2" customWidth="1"/>
    <col min="9" max="9" width="19.1796875" style="2" hidden="1" customWidth="1"/>
    <col min="10" max="10" width="20.54296875" style="2" hidden="1" customWidth="1"/>
    <col min="11" max="11" width="9.54296875" style="36" hidden="1" customWidth="1"/>
    <col min="12" max="12" width="10.54296875" hidden="1" customWidth="1"/>
    <col min="13" max="13" width="9.7265625" style="2" hidden="1" customWidth="1"/>
    <col min="14" max="14" width="10.7265625" style="105" bestFit="1" customWidth="1"/>
    <col min="15" max="15" width="8.54296875" style="36" bestFit="1" customWidth="1"/>
    <col min="16" max="16" width="14.1796875" style="105" customWidth="1"/>
    <col min="17" max="17" width="12.54296875" bestFit="1" customWidth="1"/>
    <col min="18" max="18" width="12.453125" style="36" customWidth="1"/>
    <col min="19" max="19" width="31.7265625" style="2" customWidth="1"/>
    <col min="20" max="20" width="15.453125" customWidth="1"/>
    <col min="21" max="21" width="14.54296875" customWidth="1"/>
  </cols>
  <sheetData>
    <row r="1" spans="1:21" ht="37.5" customHeight="1">
      <c r="A1" s="1" t="s">
        <v>657</v>
      </c>
    </row>
    <row r="2" spans="1:21" s="7" customFormat="1" ht="43.5">
      <c r="A2" s="227" t="s">
        <v>1</v>
      </c>
      <c r="B2" s="227" t="s">
        <v>2</v>
      </c>
      <c r="C2" s="227" t="s">
        <v>3</v>
      </c>
      <c r="D2" s="227" t="s">
        <v>4</v>
      </c>
      <c r="E2" s="227" t="s">
        <v>5</v>
      </c>
      <c r="F2" s="228" t="s">
        <v>6</v>
      </c>
      <c r="G2" s="227" t="s">
        <v>7</v>
      </c>
      <c r="H2" s="227" t="s">
        <v>8</v>
      </c>
      <c r="I2" s="227" t="s">
        <v>9</v>
      </c>
      <c r="J2" s="227" t="s">
        <v>10</v>
      </c>
      <c r="K2" s="228" t="s">
        <v>11</v>
      </c>
      <c r="L2" s="228" t="s">
        <v>12</v>
      </c>
      <c r="M2" s="227" t="s">
        <v>13</v>
      </c>
      <c r="N2" s="229" t="s">
        <v>658</v>
      </c>
      <c r="O2" s="228" t="s">
        <v>659</v>
      </c>
      <c r="P2" s="336" t="s">
        <v>14</v>
      </c>
      <c r="Q2" s="228" t="s">
        <v>1006</v>
      </c>
      <c r="R2" s="228" t="s">
        <v>16</v>
      </c>
      <c r="S2" s="228" t="s">
        <v>1005</v>
      </c>
      <c r="T2" s="281" t="s">
        <v>1007</v>
      </c>
      <c r="U2" s="281" t="s">
        <v>105</v>
      </c>
    </row>
    <row r="3" spans="1:21" ht="101.5">
      <c r="A3" s="13" t="s">
        <v>660</v>
      </c>
      <c r="B3" s="14" t="s">
        <v>131</v>
      </c>
      <c r="C3" s="13">
        <v>57700</v>
      </c>
      <c r="D3" s="14" t="s">
        <v>1062</v>
      </c>
      <c r="E3" s="14" t="s">
        <v>133</v>
      </c>
      <c r="F3" s="57" t="s">
        <v>134</v>
      </c>
      <c r="G3" s="14" t="s">
        <v>661</v>
      </c>
      <c r="H3" s="14" t="s">
        <v>662</v>
      </c>
      <c r="I3" s="14" t="s">
        <v>663</v>
      </c>
      <c r="J3" s="14" t="s">
        <v>31</v>
      </c>
      <c r="K3" s="71" t="s">
        <v>32</v>
      </c>
      <c r="L3" s="13" t="s">
        <v>32</v>
      </c>
      <c r="M3" s="14" t="s">
        <v>25</v>
      </c>
      <c r="N3" s="15">
        <v>1400</v>
      </c>
      <c r="O3" s="71">
        <v>100</v>
      </c>
      <c r="P3" s="15">
        <v>140000</v>
      </c>
      <c r="Q3" s="15">
        <v>140000</v>
      </c>
      <c r="R3" s="71">
        <v>1</v>
      </c>
      <c r="S3" s="14" t="s">
        <v>996</v>
      </c>
      <c r="T3" s="419">
        <f>Q3</f>
        <v>140000</v>
      </c>
      <c r="U3" s="458"/>
    </row>
    <row r="4" spans="1:21" ht="116">
      <c r="A4" s="13" t="s">
        <v>664</v>
      </c>
      <c r="B4" s="14" t="s">
        <v>131</v>
      </c>
      <c r="C4" s="13">
        <v>57745</v>
      </c>
      <c r="D4" s="14" t="s">
        <v>1062</v>
      </c>
      <c r="E4" s="14" t="s">
        <v>133</v>
      </c>
      <c r="F4" s="57" t="s">
        <v>134</v>
      </c>
      <c r="G4" s="14" t="s">
        <v>665</v>
      </c>
      <c r="H4" s="14" t="s">
        <v>666</v>
      </c>
      <c r="I4" s="14" t="s">
        <v>663</v>
      </c>
      <c r="J4" s="14" t="s">
        <v>31</v>
      </c>
      <c r="K4" s="71" t="s">
        <v>32</v>
      </c>
      <c r="L4" s="13" t="s">
        <v>32</v>
      </c>
      <c r="M4" s="14" t="s">
        <v>25</v>
      </c>
      <c r="N4" s="15">
        <v>1400</v>
      </c>
      <c r="O4" s="71">
        <v>17</v>
      </c>
      <c r="P4" s="15">
        <v>99400</v>
      </c>
      <c r="Q4" s="15">
        <v>23800</v>
      </c>
      <c r="R4" s="71">
        <v>2</v>
      </c>
      <c r="S4" s="14" t="s">
        <v>997</v>
      </c>
      <c r="T4" s="419">
        <f t="shared" ref="T4:T11" si="0">Q4</f>
        <v>23800</v>
      </c>
      <c r="U4" s="458"/>
    </row>
    <row r="5" spans="1:21" ht="123.75" customHeight="1">
      <c r="A5" s="21" t="s">
        <v>701</v>
      </c>
      <c r="B5" s="14" t="s">
        <v>267</v>
      </c>
      <c r="C5" s="13">
        <v>55130</v>
      </c>
      <c r="D5" s="14" t="s">
        <v>1063</v>
      </c>
      <c r="E5" s="14" t="s">
        <v>269</v>
      </c>
      <c r="F5" s="57" t="s">
        <v>154</v>
      </c>
      <c r="G5" s="14" t="s">
        <v>702</v>
      </c>
      <c r="H5" s="14" t="s">
        <v>703</v>
      </c>
      <c r="I5" s="14" t="s">
        <v>704</v>
      </c>
      <c r="J5" s="14" t="s">
        <v>31</v>
      </c>
      <c r="K5" s="71" t="s">
        <v>33</v>
      </c>
      <c r="L5" s="13" t="s">
        <v>33</v>
      </c>
      <c r="M5" s="14" t="s">
        <v>705</v>
      </c>
      <c r="N5" s="15">
        <v>100000</v>
      </c>
      <c r="O5" s="71">
        <v>1</v>
      </c>
      <c r="P5" s="15">
        <v>100000</v>
      </c>
      <c r="Q5" s="16">
        <v>25000</v>
      </c>
      <c r="R5" s="40">
        <v>3</v>
      </c>
      <c r="S5" s="14" t="s">
        <v>998</v>
      </c>
      <c r="T5" s="419">
        <f t="shared" si="0"/>
        <v>25000</v>
      </c>
      <c r="U5" s="458"/>
    </row>
    <row r="6" spans="1:21" ht="319">
      <c r="A6" s="21" t="s">
        <v>709</v>
      </c>
      <c r="B6" s="14" t="s">
        <v>131</v>
      </c>
      <c r="C6" s="13">
        <v>57620</v>
      </c>
      <c r="D6" s="14" t="s">
        <v>1064</v>
      </c>
      <c r="E6" s="14" t="s">
        <v>710</v>
      </c>
      <c r="F6" s="57" t="s">
        <v>134</v>
      </c>
      <c r="G6" s="14" t="s">
        <v>711</v>
      </c>
      <c r="H6" s="14" t="s">
        <v>1008</v>
      </c>
      <c r="I6" s="14" t="s">
        <v>663</v>
      </c>
      <c r="J6" s="14" t="s">
        <v>31</v>
      </c>
      <c r="K6" s="71" t="s">
        <v>32</v>
      </c>
      <c r="L6" s="13" t="s">
        <v>32</v>
      </c>
      <c r="M6" s="14" t="s">
        <v>25</v>
      </c>
      <c r="N6" s="15">
        <v>10000</v>
      </c>
      <c r="O6" s="71">
        <v>37</v>
      </c>
      <c r="P6" s="15">
        <v>370000</v>
      </c>
      <c r="Q6" s="16">
        <v>370000</v>
      </c>
      <c r="R6" s="40">
        <v>4</v>
      </c>
      <c r="S6" s="14" t="s">
        <v>999</v>
      </c>
      <c r="T6" s="419">
        <f t="shared" si="0"/>
        <v>370000</v>
      </c>
      <c r="U6" s="458"/>
    </row>
    <row r="7" spans="1:21" ht="151.5" customHeight="1">
      <c r="A7" s="13" t="s">
        <v>667</v>
      </c>
      <c r="B7" s="14" t="s">
        <v>131</v>
      </c>
      <c r="C7" s="13">
        <v>53120</v>
      </c>
      <c r="D7" s="14" t="s">
        <v>1062</v>
      </c>
      <c r="E7" s="14" t="s">
        <v>133</v>
      </c>
      <c r="F7" s="57" t="s">
        <v>134</v>
      </c>
      <c r="G7" s="14" t="s">
        <v>668</v>
      </c>
      <c r="H7" s="14" t="s">
        <v>669</v>
      </c>
      <c r="I7" s="14" t="s">
        <v>663</v>
      </c>
      <c r="J7" s="14" t="s">
        <v>31</v>
      </c>
      <c r="K7" s="71" t="s">
        <v>32</v>
      </c>
      <c r="L7" s="13" t="s">
        <v>32</v>
      </c>
      <c r="M7" s="14" t="s">
        <v>25</v>
      </c>
      <c r="N7" s="15">
        <v>1000</v>
      </c>
      <c r="O7" s="71">
        <v>155</v>
      </c>
      <c r="P7" s="15">
        <v>155000</v>
      </c>
      <c r="Q7" s="15">
        <v>155000</v>
      </c>
      <c r="R7" s="40">
        <v>5</v>
      </c>
      <c r="S7" s="14" t="s">
        <v>1000</v>
      </c>
      <c r="T7" s="419">
        <f t="shared" si="0"/>
        <v>155000</v>
      </c>
      <c r="U7" s="458"/>
    </row>
    <row r="8" spans="1:21" ht="116">
      <c r="A8" s="13" t="s">
        <v>670</v>
      </c>
      <c r="B8" s="14" t="s">
        <v>131</v>
      </c>
      <c r="C8" s="13">
        <v>53120</v>
      </c>
      <c r="D8" s="14" t="s">
        <v>1062</v>
      </c>
      <c r="E8" s="14" t="s">
        <v>133</v>
      </c>
      <c r="F8" s="57" t="s">
        <v>134</v>
      </c>
      <c r="G8" s="14" t="s">
        <v>671</v>
      </c>
      <c r="H8" s="14" t="s">
        <v>672</v>
      </c>
      <c r="I8" s="14" t="s">
        <v>663</v>
      </c>
      <c r="J8" s="14" t="s">
        <v>31</v>
      </c>
      <c r="K8" s="71" t="s">
        <v>32</v>
      </c>
      <c r="L8" s="13" t="s">
        <v>32</v>
      </c>
      <c r="M8" s="14" t="s">
        <v>25</v>
      </c>
      <c r="N8" s="15">
        <v>7000</v>
      </c>
      <c r="O8" s="71">
        <v>3</v>
      </c>
      <c r="P8" s="15">
        <v>21000</v>
      </c>
      <c r="Q8" s="15">
        <v>21000</v>
      </c>
      <c r="R8" s="71">
        <v>6</v>
      </c>
      <c r="S8" s="14" t="s">
        <v>1001</v>
      </c>
      <c r="T8" s="419">
        <f t="shared" si="0"/>
        <v>21000</v>
      </c>
      <c r="U8" s="458"/>
    </row>
    <row r="9" spans="1:21" ht="87">
      <c r="A9" s="13" t="s">
        <v>681</v>
      </c>
      <c r="B9" s="14" t="s">
        <v>131</v>
      </c>
      <c r="C9" s="13">
        <v>57720</v>
      </c>
      <c r="D9" s="14" t="s">
        <v>1062</v>
      </c>
      <c r="E9" s="14" t="s">
        <v>133</v>
      </c>
      <c r="F9" s="57" t="s">
        <v>134</v>
      </c>
      <c r="G9" s="14" t="s">
        <v>682</v>
      </c>
      <c r="H9" s="14" t="s">
        <v>683</v>
      </c>
      <c r="I9" s="14" t="s">
        <v>663</v>
      </c>
      <c r="J9" s="14" t="s">
        <v>31</v>
      </c>
      <c r="K9" s="71" t="s">
        <v>32</v>
      </c>
      <c r="L9" s="13" t="s">
        <v>32</v>
      </c>
      <c r="M9" s="14" t="s">
        <v>53</v>
      </c>
      <c r="N9" s="15">
        <v>10000</v>
      </c>
      <c r="O9" s="71">
        <v>1</v>
      </c>
      <c r="P9" s="15">
        <v>10000</v>
      </c>
      <c r="Q9" s="15">
        <v>10000</v>
      </c>
      <c r="R9" s="71">
        <v>7</v>
      </c>
      <c r="S9" s="14" t="s">
        <v>1002</v>
      </c>
      <c r="T9" s="419">
        <f t="shared" si="0"/>
        <v>10000</v>
      </c>
      <c r="U9" s="458"/>
    </row>
    <row r="10" spans="1:21" ht="87">
      <c r="A10" s="13" t="s">
        <v>684</v>
      </c>
      <c r="B10" s="14" t="s">
        <v>208</v>
      </c>
      <c r="C10" s="13">
        <v>57650</v>
      </c>
      <c r="D10" s="14" t="s">
        <v>1065</v>
      </c>
      <c r="E10" s="14" t="s">
        <v>394</v>
      </c>
      <c r="F10" s="57" t="s">
        <v>154</v>
      </c>
      <c r="G10" s="14" t="s">
        <v>685</v>
      </c>
      <c r="H10" s="14" t="s">
        <v>686</v>
      </c>
      <c r="I10" s="14" t="s">
        <v>663</v>
      </c>
      <c r="J10" s="14" t="s">
        <v>31</v>
      </c>
      <c r="K10" s="71" t="s">
        <v>32</v>
      </c>
      <c r="L10" s="13" t="s">
        <v>32</v>
      </c>
      <c r="M10" s="14" t="s">
        <v>64</v>
      </c>
      <c r="N10" s="15">
        <v>5500</v>
      </c>
      <c r="O10" s="71">
        <v>1</v>
      </c>
      <c r="P10" s="15">
        <v>5500</v>
      </c>
      <c r="Q10" s="15">
        <v>5500</v>
      </c>
      <c r="R10" s="71">
        <v>8</v>
      </c>
      <c r="S10" s="14" t="s">
        <v>1003</v>
      </c>
      <c r="T10" s="419">
        <f t="shared" si="0"/>
        <v>5500</v>
      </c>
      <c r="U10" s="458"/>
    </row>
    <row r="11" spans="1:21" ht="166.5" customHeight="1">
      <c r="A11" s="21" t="s">
        <v>690</v>
      </c>
      <c r="B11" s="14" t="s">
        <v>267</v>
      </c>
      <c r="C11" s="13">
        <v>57620</v>
      </c>
      <c r="D11" s="14" t="s">
        <v>1066</v>
      </c>
      <c r="E11" s="14" t="s">
        <v>692</v>
      </c>
      <c r="F11" s="57" t="s">
        <v>154</v>
      </c>
      <c r="G11" s="14" t="s">
        <v>693</v>
      </c>
      <c r="H11" s="14" t="s">
        <v>694</v>
      </c>
      <c r="I11" s="14" t="s">
        <v>663</v>
      </c>
      <c r="J11" s="14" t="s">
        <v>31</v>
      </c>
      <c r="K11" s="71" t="s">
        <v>32</v>
      </c>
      <c r="L11" s="13" t="s">
        <v>32</v>
      </c>
      <c r="M11" s="14" t="s">
        <v>272</v>
      </c>
      <c r="N11" s="15">
        <v>40000</v>
      </c>
      <c r="O11" s="71">
        <v>1</v>
      </c>
      <c r="P11" s="15">
        <v>40000</v>
      </c>
      <c r="Q11" s="16">
        <v>40000</v>
      </c>
      <c r="R11" s="40">
        <v>9</v>
      </c>
      <c r="S11" s="14" t="s">
        <v>1004</v>
      </c>
      <c r="T11" s="419">
        <f t="shared" si="0"/>
        <v>40000</v>
      </c>
      <c r="U11" s="458"/>
    </row>
    <row r="12" spans="1:21" ht="112" customHeight="1">
      <c r="A12" s="21" t="s">
        <v>706</v>
      </c>
      <c r="B12" s="14" t="s">
        <v>267</v>
      </c>
      <c r="C12" s="13">
        <v>57620</v>
      </c>
      <c r="D12" s="14"/>
      <c r="E12" s="14" t="s">
        <v>280</v>
      </c>
      <c r="F12" s="57" t="s">
        <v>154</v>
      </c>
      <c r="G12" s="14" t="s">
        <v>707</v>
      </c>
      <c r="H12" s="14" t="s">
        <v>708</v>
      </c>
      <c r="I12" s="14" t="s">
        <v>663</v>
      </c>
      <c r="J12" s="14" t="s">
        <v>31</v>
      </c>
      <c r="K12" s="71" t="s">
        <v>33</v>
      </c>
      <c r="L12" s="13" t="s">
        <v>32</v>
      </c>
      <c r="M12" s="14" t="s">
        <v>64</v>
      </c>
      <c r="N12" s="15">
        <v>60000</v>
      </c>
      <c r="O12" s="71">
        <v>1</v>
      </c>
      <c r="P12" s="15">
        <v>60000</v>
      </c>
      <c r="Q12" s="16"/>
      <c r="R12" s="40"/>
      <c r="S12" s="14"/>
      <c r="T12" s="419"/>
      <c r="U12" s="458"/>
    </row>
    <row r="13" spans="1:21" ht="103.5" customHeight="1">
      <c r="A13" s="21" t="s">
        <v>712</v>
      </c>
      <c r="B13" s="14" t="s">
        <v>139</v>
      </c>
      <c r="C13" s="13">
        <v>57620</v>
      </c>
      <c r="D13" s="14"/>
      <c r="E13" s="14" t="s">
        <v>141</v>
      </c>
      <c r="F13" s="57" t="s">
        <v>134</v>
      </c>
      <c r="G13" s="14" t="s">
        <v>713</v>
      </c>
      <c r="H13" s="14" t="s">
        <v>714</v>
      </c>
      <c r="I13" s="14" t="s">
        <v>663</v>
      </c>
      <c r="J13" s="14" t="s">
        <v>31</v>
      </c>
      <c r="K13" s="71" t="s">
        <v>32</v>
      </c>
      <c r="L13" s="13" t="s">
        <v>32</v>
      </c>
      <c r="M13" s="14" t="s">
        <v>53</v>
      </c>
      <c r="N13" s="15">
        <v>2000</v>
      </c>
      <c r="O13" s="71">
        <v>11</v>
      </c>
      <c r="P13" s="15">
        <v>22000</v>
      </c>
      <c r="Q13" s="16"/>
      <c r="R13" s="40"/>
      <c r="S13" s="14"/>
      <c r="T13" s="419"/>
      <c r="U13" s="458"/>
    </row>
    <row r="14" spans="1:21" ht="87">
      <c r="A14" s="21" t="s">
        <v>715</v>
      </c>
      <c r="B14" s="14" t="s">
        <v>131</v>
      </c>
      <c r="C14" s="13">
        <v>57745</v>
      </c>
      <c r="D14" s="14"/>
      <c r="E14" s="14" t="s">
        <v>717</v>
      </c>
      <c r="F14" s="57" t="s">
        <v>134</v>
      </c>
      <c r="G14" s="14" t="s">
        <v>718</v>
      </c>
      <c r="H14" s="14" t="s">
        <v>719</v>
      </c>
      <c r="I14" s="14" t="s">
        <v>663</v>
      </c>
      <c r="J14" s="14" t="s">
        <v>31</v>
      </c>
      <c r="K14" s="71" t="s">
        <v>32</v>
      </c>
      <c r="L14" s="13" t="s">
        <v>32</v>
      </c>
      <c r="M14" s="14" t="s">
        <v>25</v>
      </c>
      <c r="N14" s="15">
        <v>9500</v>
      </c>
      <c r="O14" s="71">
        <v>1</v>
      </c>
      <c r="P14" s="15">
        <v>9500</v>
      </c>
      <c r="Q14" s="16"/>
      <c r="R14" s="40"/>
      <c r="S14" s="14"/>
      <c r="T14" s="419"/>
      <c r="U14" s="458"/>
    </row>
    <row r="15" spans="1:21" ht="87">
      <c r="A15" s="13" t="s">
        <v>687</v>
      </c>
      <c r="B15" s="14" t="s">
        <v>208</v>
      </c>
      <c r="C15" s="13">
        <v>57745</v>
      </c>
      <c r="D15" s="14"/>
      <c r="E15" s="14" t="s">
        <v>394</v>
      </c>
      <c r="F15" s="57" t="s">
        <v>154</v>
      </c>
      <c r="G15" s="14" t="s">
        <v>688</v>
      </c>
      <c r="H15" s="14" t="s">
        <v>689</v>
      </c>
      <c r="I15" s="14" t="s">
        <v>663</v>
      </c>
      <c r="J15" s="14" t="s">
        <v>31</v>
      </c>
      <c r="K15" s="71" t="s">
        <v>32</v>
      </c>
      <c r="L15" s="13" t="s">
        <v>32</v>
      </c>
      <c r="M15" s="14" t="s">
        <v>64</v>
      </c>
      <c r="N15" s="15">
        <v>32000</v>
      </c>
      <c r="O15" s="71">
        <v>1</v>
      </c>
      <c r="P15" s="15">
        <v>32000</v>
      </c>
      <c r="Q15" s="15"/>
      <c r="R15" s="71"/>
      <c r="S15" s="14"/>
      <c r="T15" s="419"/>
      <c r="U15" s="458"/>
    </row>
    <row r="16" spans="1:21" ht="87">
      <c r="A16" s="21" t="s">
        <v>695</v>
      </c>
      <c r="B16" s="14" t="s">
        <v>267</v>
      </c>
      <c r="C16" s="13">
        <v>57620</v>
      </c>
      <c r="D16" s="14"/>
      <c r="E16" s="14" t="s">
        <v>692</v>
      </c>
      <c r="F16" s="57" t="s">
        <v>154</v>
      </c>
      <c r="G16" s="14" t="s">
        <v>696</v>
      </c>
      <c r="H16" s="14" t="s">
        <v>697</v>
      </c>
      <c r="I16" s="14" t="s">
        <v>663</v>
      </c>
      <c r="J16" s="14" t="s">
        <v>31</v>
      </c>
      <c r="K16" s="71" t="s">
        <v>32</v>
      </c>
      <c r="L16" s="13" t="s">
        <v>32</v>
      </c>
      <c r="M16" s="14" t="s">
        <v>64</v>
      </c>
      <c r="N16" s="15">
        <v>4000</v>
      </c>
      <c r="O16" s="71">
        <v>8</v>
      </c>
      <c r="P16" s="15">
        <v>32000</v>
      </c>
      <c r="Q16" s="16"/>
      <c r="R16" s="40"/>
      <c r="S16" s="14"/>
      <c r="T16" s="419"/>
      <c r="U16" s="458"/>
    </row>
    <row r="17" spans="1:21" ht="112.5" customHeight="1">
      <c r="A17" s="13" t="s">
        <v>678</v>
      </c>
      <c r="B17" s="14" t="s">
        <v>131</v>
      </c>
      <c r="C17" s="13">
        <v>57720</v>
      </c>
      <c r="D17" s="14"/>
      <c r="E17" s="14" t="s">
        <v>133</v>
      </c>
      <c r="F17" s="57" t="s">
        <v>134</v>
      </c>
      <c r="G17" s="14" t="s">
        <v>679</v>
      </c>
      <c r="H17" s="14" t="s">
        <v>680</v>
      </c>
      <c r="I17" s="14" t="s">
        <v>663</v>
      </c>
      <c r="J17" s="14" t="s">
        <v>31</v>
      </c>
      <c r="K17" s="71" t="s">
        <v>33</v>
      </c>
      <c r="L17" s="13" t="s">
        <v>32</v>
      </c>
      <c r="M17" s="14" t="s">
        <v>53</v>
      </c>
      <c r="N17" s="15">
        <v>1000</v>
      </c>
      <c r="O17" s="71">
        <v>20</v>
      </c>
      <c r="P17" s="15">
        <v>20000</v>
      </c>
      <c r="Q17" s="15"/>
      <c r="R17" s="40"/>
      <c r="S17" s="14"/>
      <c r="T17" s="419"/>
      <c r="U17" s="458"/>
    </row>
    <row r="18" spans="1:21" ht="246.5">
      <c r="A18" s="13" t="s">
        <v>673</v>
      </c>
      <c r="B18" s="14" t="s">
        <v>290</v>
      </c>
      <c r="C18" s="13">
        <v>57720</v>
      </c>
      <c r="D18" s="14"/>
      <c r="E18" s="14" t="s">
        <v>675</v>
      </c>
      <c r="F18" s="57" t="s">
        <v>154</v>
      </c>
      <c r="G18" s="14" t="s">
        <v>676</v>
      </c>
      <c r="H18" s="14" t="s">
        <v>677</v>
      </c>
      <c r="I18" s="14" t="s">
        <v>663</v>
      </c>
      <c r="J18" s="14" t="s">
        <v>31</v>
      </c>
      <c r="K18" s="71" t="s">
        <v>32</v>
      </c>
      <c r="L18" s="13" t="s">
        <v>32</v>
      </c>
      <c r="M18" s="14" t="s">
        <v>53</v>
      </c>
      <c r="N18" s="15">
        <v>1427</v>
      </c>
      <c r="O18" s="71">
        <v>1</v>
      </c>
      <c r="P18" s="15">
        <v>1427</v>
      </c>
      <c r="Q18" s="15"/>
      <c r="R18" s="40"/>
      <c r="S18" s="14"/>
      <c r="T18" s="419"/>
      <c r="U18" s="458"/>
    </row>
    <row r="19" spans="1:21" ht="106" customHeight="1">
      <c r="A19" s="21" t="s">
        <v>698</v>
      </c>
      <c r="B19" s="14" t="s">
        <v>41</v>
      </c>
      <c r="C19" s="13">
        <v>54103</v>
      </c>
      <c r="D19" s="14"/>
      <c r="E19" s="14" t="s">
        <v>43</v>
      </c>
      <c r="F19" s="57" t="s">
        <v>21</v>
      </c>
      <c r="G19" s="14" t="s">
        <v>699</v>
      </c>
      <c r="H19" s="14" t="s">
        <v>700</v>
      </c>
      <c r="I19" s="14" t="s">
        <v>663</v>
      </c>
      <c r="J19" s="14" t="s">
        <v>31</v>
      </c>
      <c r="K19" s="71" t="s">
        <v>32</v>
      </c>
      <c r="L19" s="13" t="s">
        <v>32</v>
      </c>
      <c r="M19" s="14" t="s">
        <v>64</v>
      </c>
      <c r="N19" s="15">
        <v>1950</v>
      </c>
      <c r="O19" s="71">
        <v>3</v>
      </c>
      <c r="P19" s="15">
        <v>5850</v>
      </c>
      <c r="Q19" s="16"/>
      <c r="R19" s="406"/>
      <c r="S19" s="14"/>
      <c r="T19" s="419"/>
      <c r="U19" s="458"/>
    </row>
    <row r="20" spans="1:21" ht="139.5" customHeight="1">
      <c r="A20" s="21" t="s">
        <v>720</v>
      </c>
      <c r="B20" s="14" t="s">
        <v>182</v>
      </c>
      <c r="C20" s="13">
        <v>57720</v>
      </c>
      <c r="D20" s="14"/>
      <c r="E20" s="14" t="s">
        <v>184</v>
      </c>
      <c r="F20" s="57" t="s">
        <v>154</v>
      </c>
      <c r="G20" s="14" t="s">
        <v>721</v>
      </c>
      <c r="H20" s="14" t="s">
        <v>722</v>
      </c>
      <c r="I20" s="14" t="s">
        <v>663</v>
      </c>
      <c r="J20" s="14" t="s">
        <v>31</v>
      </c>
      <c r="K20" s="71" t="s">
        <v>32</v>
      </c>
      <c r="L20" s="13" t="s">
        <v>32</v>
      </c>
      <c r="M20" s="14" t="s">
        <v>723</v>
      </c>
      <c r="N20" s="15">
        <v>11000</v>
      </c>
      <c r="O20" s="71">
        <v>1</v>
      </c>
      <c r="P20" s="15">
        <v>11000</v>
      </c>
      <c r="Q20" s="16"/>
      <c r="R20" s="40"/>
      <c r="S20" s="14"/>
      <c r="T20" s="419"/>
      <c r="U20" s="458"/>
    </row>
    <row r="21" spans="1:21" ht="29.5" customHeight="1">
      <c r="A21" s="465"/>
      <c r="B21" s="459"/>
      <c r="C21" s="460"/>
      <c r="D21" s="459"/>
      <c r="E21" s="459"/>
      <c r="F21" s="461"/>
      <c r="G21" s="459"/>
      <c r="H21" s="459"/>
      <c r="I21" s="459"/>
      <c r="J21" s="459"/>
      <c r="K21" s="343"/>
      <c r="L21" s="462" t="s">
        <v>598</v>
      </c>
      <c r="M21" s="459"/>
      <c r="N21" s="52"/>
      <c r="O21" s="343"/>
      <c r="P21" s="52">
        <f>SUM(P3:P20)</f>
        <v>1134677</v>
      </c>
      <c r="Q21" s="463">
        <f>SUM(Q3:Q20)</f>
        <v>790300</v>
      </c>
      <c r="R21" s="464"/>
      <c r="S21" s="459"/>
      <c r="T21" s="431">
        <f>SUM(T3:T20)</f>
        <v>790300</v>
      </c>
      <c r="U21" s="431"/>
    </row>
    <row r="81" spans="17:21">
      <c r="Q81" s="55"/>
      <c r="T81" s="55"/>
      <c r="U81" s="55"/>
    </row>
    <row r="82" spans="17:21">
      <c r="Q82" s="314"/>
      <c r="T82" s="314"/>
      <c r="U82" s="314"/>
    </row>
    <row r="83" spans="17:21">
      <c r="Q83" s="315"/>
      <c r="T83" s="315"/>
      <c r="U83" s="315"/>
    </row>
    <row r="84" spans="17:21">
      <c r="Q84" s="315"/>
      <c r="T84" s="315"/>
      <c r="U84" s="315"/>
    </row>
    <row r="85" spans="17:21">
      <c r="Q85" s="315"/>
      <c r="T85" s="315"/>
      <c r="U85" s="315"/>
    </row>
    <row r="86" spans="17:21">
      <c r="Q86" s="315"/>
      <c r="T86" s="315"/>
      <c r="U86" s="315"/>
    </row>
    <row r="87" spans="17:21">
      <c r="Q87" s="315"/>
      <c r="T87" s="315"/>
      <c r="U87" s="315"/>
    </row>
    <row r="88" spans="17:21">
      <c r="Q88" s="315"/>
      <c r="T88" s="315"/>
      <c r="U88" s="315"/>
    </row>
    <row r="89" spans="17:21">
      <c r="Q89" s="315"/>
      <c r="T89" s="315"/>
      <c r="U89" s="315"/>
    </row>
    <row r="90" spans="17:21">
      <c r="Q90" s="315"/>
      <c r="T90" s="315"/>
      <c r="U90" s="315"/>
    </row>
    <row r="91" spans="17:21">
      <c r="Q91" s="315"/>
      <c r="T91" s="315"/>
      <c r="U91" s="315"/>
    </row>
    <row r="92" spans="17:21">
      <c r="Q92" s="315"/>
      <c r="T92" s="315"/>
      <c r="U92" s="315"/>
    </row>
    <row r="93" spans="17:21">
      <c r="Q93" s="315"/>
      <c r="T93" s="315"/>
      <c r="U93" s="315"/>
    </row>
    <row r="94" spans="17:21">
      <c r="Q94" s="315"/>
      <c r="T94" s="315"/>
      <c r="U94" s="315"/>
    </row>
    <row r="95" spans="17:21">
      <c r="Q95" s="315"/>
      <c r="T95" s="315"/>
      <c r="U95" s="315"/>
    </row>
    <row r="96" spans="17:21">
      <c r="Q96" s="315"/>
      <c r="T96" s="315"/>
      <c r="U96" s="315"/>
    </row>
    <row r="97" spans="17:21">
      <c r="Q97" s="315"/>
      <c r="T97" s="315"/>
      <c r="U97" s="315"/>
    </row>
    <row r="98" spans="17:21">
      <c r="Q98" s="315"/>
      <c r="T98" s="315"/>
      <c r="U98" s="315"/>
    </row>
  </sheetData>
  <pageMargins left="0.25" right="0.25" top="0.75" bottom="0.75" header="0.3" footer="0.3"/>
  <pageSetup paperSize="5" scale="58" fitToHeight="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Cover</vt:lpstr>
      <vt:lpstr>FY20 Budget Planning</vt:lpstr>
      <vt:lpstr>Operational-AA</vt:lpstr>
      <vt:lpstr>Operational-SA</vt:lpstr>
      <vt:lpstr>Operational Admin Serv</vt:lpstr>
      <vt:lpstr>Operational IT</vt:lpstr>
      <vt:lpstr>Operational President Office</vt:lpstr>
      <vt:lpstr>PROP 301</vt:lpstr>
      <vt:lpstr>CAP. TECH</vt:lpstr>
      <vt:lpstr>OCC CAPITAL</vt:lpstr>
      <vt:lpstr>CAP. NON-TECH </vt:lpstr>
      <vt:lpstr>Fund230 Budget Planning</vt:lpstr>
      <vt:lpstr>Facilities Furniture</vt:lpstr>
      <vt:lpstr>'CAP. NON-TECH '!Print_Area</vt:lpstr>
      <vt:lpstr>'CAP. TECH'!Print_Area</vt:lpstr>
      <vt:lpstr>Cover!Print_Area</vt:lpstr>
      <vt:lpstr>'Facilities Furniture'!Print_Area</vt:lpstr>
      <vt:lpstr>'FY20 Budget Planning'!Print_Area</vt:lpstr>
      <vt:lpstr>'OCC CAPITAL'!Print_Area</vt:lpstr>
      <vt:lpstr>'Operational Admin Serv'!Print_Area</vt:lpstr>
      <vt:lpstr>'Operational IT'!Print_Area</vt:lpstr>
      <vt:lpstr>'Operational President Office'!Print_Area</vt:lpstr>
      <vt:lpstr>'Operational-AA'!Print_Area</vt:lpstr>
      <vt:lpstr>'Operational-SA'!Print_Area</vt:lpstr>
      <vt:lpstr>'PROP 301'!Print_Area</vt:lpstr>
      <vt:lpstr>'CAP. NON-TECH '!Print_Titles</vt:lpstr>
      <vt:lpstr>'CAP. TECH'!Print_Titles</vt:lpstr>
      <vt:lpstr>'Facilities Furniture'!Print_Titles</vt:lpstr>
      <vt:lpstr>'OCC CAPITAL'!Print_Titles</vt:lpstr>
      <vt:lpstr>'Operational Admin Serv'!Print_Titles</vt:lpstr>
      <vt:lpstr>'Operational IT'!Print_Titles</vt:lpstr>
      <vt:lpstr>'Operational President Office'!Print_Titles</vt:lpstr>
      <vt:lpstr>'Operational-AA'!Print_Titles</vt:lpstr>
      <vt:lpstr>'Operational-SA'!Print_Titles</vt:lpstr>
      <vt:lpstr>'PROP 301'!Print_Titles</vt:lpstr>
    </vt:vector>
  </TitlesOfParts>
  <Company>PVCC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Berry,Christine</dc:creator>
  <cp:lastModifiedBy>Hoang,Nguyen H</cp:lastModifiedBy>
  <cp:lastPrinted>2019-03-01T22:24:02Z</cp:lastPrinted>
  <dcterms:created xsi:type="dcterms:W3CDTF">2018-10-08T23:00:14Z</dcterms:created>
  <dcterms:modified xsi:type="dcterms:W3CDTF">2019-03-08T17:00:41Z</dcterms:modified>
</cp:coreProperties>
</file>