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mar2262913/Documents/websites/macweb/sites/default/files/docs/college-budget/"/>
    </mc:Choice>
  </mc:AlternateContent>
  <bookViews>
    <workbookView xWindow="0" yWindow="460" windowWidth="28800" windowHeight="17400" tabRatio="930" activeTab="2"/>
  </bookViews>
  <sheets>
    <sheet name=" Summary" sheetId="17" r:id="rId1"/>
    <sheet name="FY18 Budget Planning " sheetId="16" r:id="rId2"/>
    <sheet name="OPERATIONAL" sheetId="10" r:id="rId3"/>
    <sheet name="CAPITAL" sheetId="11" r:id="rId4"/>
    <sheet name="PROP301" sheetId="12" r:id="rId5"/>
    <sheet name="OTHERS - AQUILA HALL" sheetId="14" r:id="rId6"/>
    <sheet name="OTHERS - PUMA PATH PROJ." sheetId="13" r:id="rId7"/>
    <sheet name="ALL BUDGET REQUESTS" sheetId="1" r:id="rId8"/>
    <sheet name="OTHERS - CWS" sheetId="15" state="hidden" r:id="rId9"/>
  </sheets>
  <definedNames>
    <definedName name="_xlnm.Print_Area" localSheetId="0">' Summary'!$A$1:$K$65</definedName>
    <definedName name="_xlnm.Print_Area" localSheetId="7">'ALL BUDGET REQUESTS'!$A$1:$U$168</definedName>
    <definedName name="_xlnm.Print_Area" localSheetId="3">CAPITAL!$A$1:$U$56</definedName>
    <definedName name="_xlnm.Print_Area" localSheetId="1">'FY18 Budget Planning '!$A$71:$L$118</definedName>
    <definedName name="_xlnm.Print_Area" localSheetId="5">'OTHERS - AQUILA HALL'!$A$1:$U$10</definedName>
    <definedName name="_xlnm.Print_Area" localSheetId="8">'OTHERS - CWS'!$A$1:$S$12</definedName>
    <definedName name="_xlnm.Print_Area" localSheetId="6">'OTHERS - PUMA PATH PROJ.'!$A$1:$U$19</definedName>
    <definedName name="_xlnm.Print_Area" localSheetId="4">PROP301!$A$1:$U$13</definedName>
    <definedName name="_xlnm.Print_Titles" localSheetId="7">'ALL BUDGET REQUESTS'!$2:$3</definedName>
    <definedName name="_xlnm.Print_Titles" localSheetId="3">CAPITAL!$1:$2</definedName>
    <definedName name="_xlnm.Print_Titles" localSheetId="2">OPERATIONAL!$1:$2</definedName>
    <definedName name="_xlnm.Print_Titles" localSheetId="5">'OTHERS - AQUILA HALL'!$1:$2</definedName>
    <definedName name="_xlnm.Print_Titles" localSheetId="8">'OTHERS - CWS'!$1:$2</definedName>
    <definedName name="_xlnm.Print_Titles" localSheetId="6">'OTHERS - PUMA PATH PROJ.'!$1:$2</definedName>
    <definedName name="_xlnm.Print_Titles" localSheetId="4">PROP301!$1:$2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183" i="1" l="1"/>
  <c r="T182" i="1"/>
  <c r="T181" i="1"/>
  <c r="T180" i="1"/>
  <c r="T176" i="1"/>
  <c r="T175" i="1"/>
  <c r="T174" i="1"/>
  <c r="T173" i="1"/>
  <c r="T172" i="1"/>
  <c r="T171" i="1"/>
  <c r="T164" i="1"/>
  <c r="T163" i="1"/>
  <c r="T162" i="1"/>
  <c r="T161" i="1"/>
  <c r="T160" i="1"/>
  <c r="T157" i="1"/>
  <c r="T156" i="1"/>
  <c r="T155" i="1"/>
  <c r="T154" i="1"/>
  <c r="T153" i="1"/>
  <c r="T152" i="1"/>
  <c r="T151" i="1"/>
  <c r="T150" i="1"/>
  <c r="T149" i="1"/>
  <c r="T148" i="1"/>
  <c r="T147" i="1"/>
  <c r="T146" i="1"/>
  <c r="T145" i="1"/>
  <c r="T144" i="1"/>
  <c r="T143" i="1"/>
  <c r="T142" i="1"/>
  <c r="T141" i="1"/>
  <c r="R140" i="1"/>
  <c r="T140" i="1"/>
  <c r="R139" i="1"/>
  <c r="T139" i="1"/>
  <c r="R138" i="1"/>
  <c r="T138" i="1"/>
  <c r="R137" i="1"/>
  <c r="T137" i="1"/>
  <c r="R136" i="1"/>
  <c r="T136" i="1"/>
  <c r="T132" i="1"/>
  <c r="T131" i="1"/>
  <c r="T130" i="1"/>
  <c r="T129" i="1"/>
  <c r="T128" i="1"/>
  <c r="T127" i="1"/>
  <c r="T126" i="1"/>
  <c r="T125" i="1"/>
  <c r="T124" i="1"/>
  <c r="T123" i="1"/>
  <c r="T122" i="1"/>
  <c r="T121" i="1"/>
  <c r="T120" i="1"/>
  <c r="T119" i="1"/>
  <c r="T118" i="1"/>
  <c r="T117" i="1"/>
  <c r="T104" i="1"/>
  <c r="T105" i="1"/>
  <c r="T106" i="1"/>
  <c r="T107" i="1"/>
  <c r="T108" i="1"/>
  <c r="T109" i="1"/>
  <c r="T110" i="1"/>
  <c r="T111" i="1"/>
  <c r="R112" i="1"/>
  <c r="T112" i="1"/>
  <c r="T113" i="1"/>
  <c r="T100" i="1"/>
  <c r="T99" i="1"/>
  <c r="T98" i="1"/>
  <c r="T97" i="1"/>
  <c r="T96" i="1"/>
  <c r="T80" i="1"/>
  <c r="T81" i="1"/>
  <c r="T82" i="1"/>
  <c r="T83" i="1"/>
  <c r="T84" i="1"/>
  <c r="T85" i="1"/>
  <c r="T86" i="1"/>
  <c r="T87" i="1"/>
  <c r="T88" i="1"/>
  <c r="T89" i="1"/>
  <c r="T90" i="1"/>
  <c r="T91" i="1"/>
  <c r="T92" i="1"/>
  <c r="T79" i="1"/>
  <c r="R78" i="1"/>
  <c r="T78" i="1"/>
  <c r="T77" i="1"/>
  <c r="T76" i="1"/>
  <c r="T75" i="1"/>
  <c r="T74" i="1"/>
  <c r="T71" i="1"/>
  <c r="T70" i="1"/>
  <c r="T69" i="1"/>
  <c r="T68" i="1"/>
  <c r="T67" i="1"/>
  <c r="T66" i="1"/>
  <c r="T65" i="1"/>
  <c r="T61" i="1"/>
  <c r="T60" i="1"/>
  <c r="T59" i="1"/>
  <c r="T58" i="1"/>
  <c r="T57" i="1"/>
  <c r="T56" i="1"/>
  <c r="T55" i="1"/>
  <c r="T54" i="1"/>
  <c r="T53" i="1"/>
  <c r="T52" i="1"/>
  <c r="T51" i="1"/>
  <c r="T50" i="1"/>
  <c r="T49" i="1"/>
  <c r="T48" i="1"/>
  <c r="T47" i="1"/>
  <c r="T46" i="1"/>
  <c r="T45" i="1"/>
  <c r="T44"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18" i="13"/>
  <c r="T17" i="13"/>
  <c r="T16" i="13"/>
  <c r="T15" i="13"/>
  <c r="T11" i="13"/>
  <c r="T10" i="13"/>
  <c r="T9" i="13"/>
  <c r="T8" i="13"/>
  <c r="T7" i="13"/>
  <c r="T6" i="13"/>
  <c r="T5" i="13"/>
  <c r="T9" i="14"/>
  <c r="T8" i="14"/>
  <c r="T7" i="14"/>
  <c r="T6" i="14"/>
  <c r="T5" i="14"/>
  <c r="R12" i="12"/>
  <c r="T12" i="12"/>
  <c r="T11" i="12"/>
  <c r="T10" i="12"/>
  <c r="T9" i="12"/>
  <c r="T8" i="12"/>
  <c r="T7" i="12"/>
  <c r="T6" i="12"/>
  <c r="T5" i="12"/>
  <c r="T4" i="12"/>
  <c r="T53" i="11"/>
  <c r="T52" i="11"/>
  <c r="T51" i="11"/>
  <c r="T50" i="11"/>
  <c r="T49" i="11"/>
  <c r="T45" i="11"/>
  <c r="T44" i="11"/>
  <c r="T43" i="11"/>
  <c r="T42" i="11"/>
  <c r="T41" i="11"/>
  <c r="T40" i="11"/>
  <c r="T39" i="11"/>
  <c r="T38" i="11"/>
  <c r="T37" i="11"/>
  <c r="T36" i="11"/>
  <c r="T35" i="11"/>
  <c r="T34" i="11"/>
  <c r="T33" i="11"/>
  <c r="T32" i="11"/>
  <c r="T31" i="11"/>
  <c r="T30" i="11"/>
  <c r="T29" i="11"/>
  <c r="R28" i="11"/>
  <c r="T28" i="11"/>
  <c r="R27" i="11"/>
  <c r="T27" i="11"/>
  <c r="R26" i="11"/>
  <c r="T26" i="11"/>
  <c r="R25" i="11"/>
  <c r="T25" i="11"/>
  <c r="R24" i="11"/>
  <c r="T24" i="11"/>
  <c r="T19" i="11"/>
  <c r="T18" i="11"/>
  <c r="T17" i="11"/>
  <c r="T16" i="11"/>
  <c r="T15" i="11"/>
  <c r="T14" i="11"/>
  <c r="T13" i="11"/>
  <c r="T12" i="11"/>
  <c r="T11" i="11"/>
  <c r="T10" i="11"/>
  <c r="T9" i="11"/>
  <c r="T8" i="11"/>
  <c r="T7" i="11"/>
  <c r="T6" i="11"/>
  <c r="T5" i="11"/>
  <c r="T79" i="10"/>
  <c r="T80" i="10"/>
  <c r="T81" i="10"/>
  <c r="T82" i="10"/>
  <c r="T83" i="10"/>
  <c r="T84" i="10"/>
  <c r="T85" i="10"/>
  <c r="T86" i="10"/>
  <c r="T87" i="10"/>
  <c r="T88" i="10"/>
  <c r="T89" i="10"/>
  <c r="T90" i="10"/>
  <c r="T91" i="10"/>
  <c r="T73" i="10"/>
  <c r="T74" i="10"/>
  <c r="T75" i="10"/>
  <c r="T76" i="10"/>
  <c r="T77" i="10"/>
  <c r="T64" i="10"/>
  <c r="T65" i="10"/>
  <c r="T66" i="10"/>
  <c r="T67" i="10"/>
  <c r="T68" i="10"/>
  <c r="T71" i="10"/>
  <c r="T43" i="10"/>
  <c r="T44" i="10"/>
  <c r="T45" i="10"/>
  <c r="T46" i="10"/>
  <c r="T47" i="10"/>
  <c r="T48" i="10"/>
  <c r="T49" i="10"/>
  <c r="T50" i="10"/>
  <c r="T51" i="10"/>
  <c r="T52" i="10"/>
  <c r="T53" i="10"/>
  <c r="T54" i="10"/>
  <c r="T55" i="10"/>
  <c r="T56" i="10"/>
  <c r="T57" i="10"/>
  <c r="T58" i="10"/>
  <c r="T59" i="10"/>
  <c r="T60" i="10"/>
  <c r="T61" i="10"/>
  <c r="T5" i="10"/>
  <c r="T6" i="10"/>
  <c r="T7" i="10"/>
  <c r="T8" i="10"/>
  <c r="T9" i="10"/>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92" i="10"/>
  <c r="T70" i="10"/>
  <c r="T69" i="10"/>
  <c r="T63" i="10"/>
  <c r="T193" i="1"/>
  <c r="T21" i="11"/>
  <c r="T47" i="11"/>
  <c r="T54" i="11"/>
  <c r="K10" i="17"/>
  <c r="T72" i="1"/>
  <c r="K8" i="17"/>
  <c r="T62" i="1"/>
  <c r="T42" i="1"/>
  <c r="T165" i="1"/>
  <c r="T158" i="1"/>
  <c r="T133" i="1"/>
  <c r="T166" i="1"/>
  <c r="R165" i="1"/>
  <c r="P165" i="1"/>
  <c r="P54" i="11"/>
  <c r="G16" i="17"/>
  <c r="G21" i="17"/>
  <c r="B105" i="16"/>
  <c r="B98" i="16"/>
  <c r="K109" i="16"/>
  <c r="K111" i="16"/>
  <c r="K107" i="16"/>
  <c r="K102" i="16"/>
  <c r="K98" i="16"/>
  <c r="K93" i="16"/>
  <c r="K89" i="16"/>
  <c r="K112" i="16"/>
  <c r="K114" i="16"/>
  <c r="P113" i="1"/>
  <c r="R113" i="1"/>
  <c r="B112" i="1"/>
  <c r="T13" i="12"/>
  <c r="K30" i="17"/>
  <c r="R13" i="12"/>
  <c r="P13" i="12"/>
  <c r="B12" i="12"/>
  <c r="J111" i="16"/>
  <c r="J107" i="16"/>
  <c r="J102" i="16"/>
  <c r="J98" i="16"/>
  <c r="J93" i="16"/>
  <c r="J112" i="16"/>
  <c r="J65" i="17"/>
  <c r="E37" i="17"/>
  <c r="D58" i="17"/>
  <c r="D54" i="17"/>
  <c r="D49" i="17"/>
  <c r="D45" i="17"/>
  <c r="D41" i="17"/>
  <c r="D59" i="17"/>
  <c r="E58" i="17"/>
  <c r="E54" i="17"/>
  <c r="E49" i="17"/>
  <c r="E45" i="17"/>
  <c r="E41" i="17"/>
  <c r="D37" i="17"/>
  <c r="I30" i="17"/>
  <c r="J30" i="17"/>
  <c r="H30" i="17"/>
  <c r="G22" i="17"/>
  <c r="P133" i="1"/>
  <c r="P158" i="1"/>
  <c r="P72" i="1"/>
  <c r="H8" i="17"/>
  <c r="J20" i="17"/>
  <c r="H20" i="17"/>
  <c r="J18" i="17"/>
  <c r="H18" i="17"/>
  <c r="J17" i="17"/>
  <c r="H17" i="17"/>
  <c r="E59" i="17"/>
  <c r="E19" i="17"/>
  <c r="E21" i="17"/>
  <c r="B106" i="16"/>
  <c r="B104" i="16"/>
  <c r="B107" i="16"/>
  <c r="K115" i="16"/>
  <c r="J89" i="16"/>
  <c r="K81" i="16"/>
  <c r="H81" i="16"/>
  <c r="H78" i="16"/>
  <c r="J78" i="16"/>
  <c r="L78" i="16"/>
  <c r="L81" i="16"/>
  <c r="B87" i="16"/>
  <c r="H67" i="16"/>
  <c r="B66" i="16"/>
  <c r="I66" i="16"/>
  <c r="B65" i="16"/>
  <c r="I65" i="16"/>
  <c r="G64" i="16"/>
  <c r="G67" i="16"/>
  <c r="F64" i="16"/>
  <c r="F67" i="16"/>
  <c r="E64" i="16"/>
  <c r="E67" i="16"/>
  <c r="C64" i="16"/>
  <c r="C67" i="16"/>
  <c r="B64" i="16"/>
  <c r="H59" i="16"/>
  <c r="G56" i="16"/>
  <c r="G59" i="16"/>
  <c r="F56" i="16"/>
  <c r="F59" i="16"/>
  <c r="E56" i="16"/>
  <c r="E59" i="16"/>
  <c r="C56" i="16"/>
  <c r="C59" i="16"/>
  <c r="B56" i="16"/>
  <c r="B58" i="16"/>
  <c r="I58" i="16"/>
  <c r="B57" i="16"/>
  <c r="I57" i="16"/>
  <c r="H53" i="16"/>
  <c r="H52" i="16"/>
  <c r="G52" i="16"/>
  <c r="F51" i="16"/>
  <c r="F52" i="16"/>
  <c r="E51" i="16"/>
  <c r="E52" i="16"/>
  <c r="C51" i="16"/>
  <c r="C52" i="16"/>
  <c r="B51" i="16"/>
  <c r="B52" i="16"/>
  <c r="B48" i="16"/>
  <c r="H47" i="16"/>
  <c r="H48" i="16"/>
  <c r="G47" i="16"/>
  <c r="G48" i="16"/>
  <c r="F47" i="16"/>
  <c r="F48" i="16"/>
  <c r="E47" i="16"/>
  <c r="C47" i="16"/>
  <c r="C48" i="16"/>
  <c r="I46" i="16"/>
  <c r="H42" i="16"/>
  <c r="G42" i="16"/>
  <c r="F42" i="16"/>
  <c r="E42" i="16"/>
  <c r="C42" i="16"/>
  <c r="B41" i="16"/>
  <c r="I41" i="16"/>
  <c r="B40" i="16"/>
  <c r="I40" i="16"/>
  <c r="B37" i="16"/>
  <c r="I36" i="16"/>
  <c r="H35" i="16"/>
  <c r="H37" i="16"/>
  <c r="G35" i="16"/>
  <c r="F35" i="16"/>
  <c r="E35" i="16"/>
  <c r="C35" i="16"/>
  <c r="I35" i="16"/>
  <c r="G34" i="16"/>
  <c r="G37" i="16"/>
  <c r="F34" i="16"/>
  <c r="F37" i="16"/>
  <c r="E34" i="16"/>
  <c r="E37" i="16"/>
  <c r="H31" i="16"/>
  <c r="G31" i="16"/>
  <c r="F31" i="16"/>
  <c r="E31" i="16"/>
  <c r="C31" i="16"/>
  <c r="B31" i="16"/>
  <c r="I30" i="16"/>
  <c r="I29" i="16"/>
  <c r="H24" i="16"/>
  <c r="G24" i="16"/>
  <c r="F24" i="16"/>
  <c r="E24" i="16"/>
  <c r="C24" i="16"/>
  <c r="B24" i="16"/>
  <c r="I23" i="16"/>
  <c r="I22" i="16"/>
  <c r="H16" i="16"/>
  <c r="H18" i="16"/>
  <c r="C16" i="16"/>
  <c r="C18" i="16"/>
  <c r="I17" i="16"/>
  <c r="G16" i="16"/>
  <c r="G18" i="16"/>
  <c r="F16" i="16"/>
  <c r="F18" i="16"/>
  <c r="E16" i="16"/>
  <c r="E18" i="16"/>
  <c r="B16" i="16"/>
  <c r="B18" i="16"/>
  <c r="B6" i="16"/>
  <c r="B4" i="16"/>
  <c r="B9" i="16"/>
  <c r="H19" i="17"/>
  <c r="H77" i="16"/>
  <c r="J77" i="16"/>
  <c r="H79" i="16"/>
  <c r="J79" i="16"/>
  <c r="C37" i="16"/>
  <c r="B42" i="16"/>
  <c r="H80" i="16"/>
  <c r="J80" i="16"/>
  <c r="G23" i="17"/>
  <c r="I52" i="16"/>
  <c r="I47" i="16"/>
  <c r="B7" i="16"/>
  <c r="H76" i="16"/>
  <c r="J76" i="16"/>
  <c r="J81" i="16"/>
  <c r="B88" i="16"/>
  <c r="B90" i="16"/>
  <c r="B100" i="16"/>
  <c r="T12" i="13"/>
  <c r="P12" i="13"/>
  <c r="H63" i="17"/>
  <c r="R12" i="13"/>
  <c r="I63" i="17"/>
  <c r="R19" i="13"/>
  <c r="I64" i="17"/>
  <c r="I65" i="17"/>
  <c r="P10" i="15"/>
  <c r="T10" i="14"/>
  <c r="R10" i="14"/>
  <c r="P10" i="14"/>
  <c r="T19" i="13"/>
  <c r="P19" i="13"/>
  <c r="H64" i="17"/>
  <c r="R54" i="11"/>
  <c r="P47" i="11"/>
  <c r="F16" i="17"/>
  <c r="H16" i="17"/>
  <c r="R21" i="11"/>
  <c r="P21" i="11"/>
  <c r="R91" i="10"/>
  <c r="P91" i="10"/>
  <c r="P77" i="10"/>
  <c r="P71" i="10"/>
  <c r="P61" i="10"/>
  <c r="P41" i="10"/>
  <c r="P92" i="10"/>
  <c r="R77" i="10"/>
  <c r="R71" i="10"/>
  <c r="R61" i="10"/>
  <c r="R41" i="10"/>
  <c r="H65" i="17"/>
  <c r="R158" i="1"/>
  <c r="R159" i="1"/>
  <c r="F21" i="17"/>
  <c r="H21" i="17"/>
  <c r="K24" i="17"/>
  <c r="P55" i="11"/>
  <c r="R47" i="11"/>
  <c r="R92" i="10"/>
  <c r="F22" i="17"/>
  <c r="F23" i="17"/>
  <c r="I16" i="17"/>
  <c r="J16" i="17"/>
  <c r="R48" i="11"/>
  <c r="R55" i="11"/>
  <c r="R133" i="1"/>
  <c r="P193" i="1"/>
  <c r="P92" i="1"/>
  <c r="H10" i="17"/>
  <c r="R92" i="1"/>
  <c r="I10" i="17"/>
  <c r="J10" i="17"/>
  <c r="R42" i="1"/>
  <c r="I6" i="17"/>
  <c r="J6" i="17"/>
  <c r="R62" i="1"/>
  <c r="I7" i="17"/>
  <c r="J7" i="17"/>
  <c r="R72" i="1"/>
  <c r="I8" i="17"/>
  <c r="J8" i="17"/>
  <c r="I9" i="17"/>
  <c r="J9" i="17"/>
  <c r="J11" i="17"/>
  <c r="K6" i="17"/>
  <c r="T177" i="1"/>
  <c r="T184" i="1"/>
  <c r="T101" i="1"/>
  <c r="K7" i="17"/>
  <c r="K9" i="17"/>
  <c r="P78" i="1"/>
  <c r="H9" i="17"/>
  <c r="P62" i="1"/>
  <c r="H7" i="17"/>
  <c r="P101" i="1"/>
  <c r="R101" i="1"/>
  <c r="R184" i="1"/>
  <c r="P184" i="1"/>
  <c r="R177" i="1"/>
  <c r="P177" i="1"/>
  <c r="P42" i="1"/>
  <c r="H6" i="17"/>
  <c r="H11" i="17"/>
  <c r="R166" i="1"/>
  <c r="I19" i="17"/>
  <c r="J19" i="17"/>
  <c r="J23" i="17"/>
  <c r="E22" i="17"/>
  <c r="I11" i="17"/>
  <c r="R93" i="1"/>
  <c r="P93" i="1"/>
  <c r="P166" i="1"/>
  <c r="E23" i="17"/>
  <c r="I22" i="17"/>
  <c r="K11" i="17"/>
  <c r="T93" i="1"/>
  <c r="T55" i="11"/>
</calcChain>
</file>

<file path=xl/sharedStrings.xml><?xml version="1.0" encoding="utf-8"?>
<sst xmlns="http://schemas.openxmlformats.org/spreadsheetml/2006/main" count="3952" uniqueCount="829">
  <si>
    <t>GLCode</t>
  </si>
  <si>
    <t>Justification</t>
  </si>
  <si>
    <t>Quantity</t>
  </si>
  <si>
    <t>TaskID</t>
  </si>
  <si>
    <t>Mosley, Mary Lou</t>
  </si>
  <si>
    <t>110-500-111032</t>
  </si>
  <si>
    <t>V P Of Academic Affairs</t>
  </si>
  <si>
    <t>Associate Dean of Academic Affairs</t>
  </si>
  <si>
    <t>Operational - Personnel</t>
  </si>
  <si>
    <t>5.0 Task</t>
  </si>
  <si>
    <t>Occupational Program Emergency Equipment Needs</t>
  </si>
  <si>
    <t>Capital Occupational Technology</t>
  </si>
  <si>
    <t>Occupational Program - Emergency Equipment Needs EMT / Fire Science / AJS</t>
  </si>
  <si>
    <t>Capital Occupational - Non-Technology</t>
  </si>
  <si>
    <t>Occupational Program - Emergency Equipment Needs Lab Science</t>
  </si>
  <si>
    <t>Academic Assessment</t>
  </si>
  <si>
    <t>AAT &amp; Critical Thinking Academy Co-Chairs. Fall &amp; Spring.</t>
  </si>
  <si>
    <t>Academic Assessment &amp; Program Review</t>
  </si>
  <si>
    <t>AAT &amp; Critical Thinking Co-Chairs. Summer. And Adjunct Faculty Stipend for Program Review.</t>
  </si>
  <si>
    <t>Faculty Outreach &amp; Project Support</t>
  </si>
  <si>
    <t>Faculty Stipend for New Online &amp; Hybrid Course Development</t>
  </si>
  <si>
    <t>HLC Fee to Approve New Programs</t>
  </si>
  <si>
    <t>Operational - Non Personnel</t>
  </si>
  <si>
    <t>Lindseth, Lori</t>
  </si>
  <si>
    <t>110-500-152830</t>
  </si>
  <si>
    <t>Human Resources</t>
  </si>
  <si>
    <t>2.1 - Minimum Services Levels</t>
  </si>
  <si>
    <t xml:space="preserve">Part time wages to retain payroll analyst (Luanne Patterson) </t>
  </si>
  <si>
    <t xml:space="preserve">This position is critical to the campus to assure payroll deadlines are met, and payroll data is accurately processed.  This position is responsible for compiling payroll information and managing payroll preparation; balancing payroll accounts, resolving payroll discrepancies;  calculating changes to pay rates based on time off, overtime, etc.  Maintains and updates campus-wide payroll information by collecting, calculating, and entering data;  prepares reports by compiling summaries of earnings, taxes, deductions, leave, disability, and nontaxable wages.  Position has delegated authority to handle all payroll issues and questions for the department.  Without funding for this part time position, timeliness of payroll processing will be significantly compromised.  Time necessary to handle payroll issues will fall to other staff, which will have a domino effect that will negatively impact timeliness of all HR functions at PVCC. </t>
  </si>
  <si>
    <t>2.2 - Minimum Services Levels</t>
  </si>
  <si>
    <t>General supplies</t>
  </si>
  <si>
    <t>General supplies; office, materials, parts, etc.</t>
  </si>
  <si>
    <t>2.3 - Minimum Services Levels</t>
  </si>
  <si>
    <t>Mondragon, Loretta</t>
  </si>
  <si>
    <t>110-515-161190</t>
  </si>
  <si>
    <t>General Institutional</t>
  </si>
  <si>
    <t>Black Mtn- Staffing PT Wages - Placement Testing</t>
  </si>
  <si>
    <t>110-515-142070</t>
  </si>
  <si>
    <t>Dean Of Student Affairs</t>
  </si>
  <si>
    <t>Black Mtn- Administrative Assistant Staffing (PSA8 - 1.0 OYO)</t>
  </si>
  <si>
    <t>Black Mtn- Staffing PT Wages - Receptionist</t>
  </si>
  <si>
    <t>110-515-171011</t>
  </si>
  <si>
    <t>Public Safety-Colleges</t>
  </si>
  <si>
    <t>Black Mtn- Security Staffing PT Wages</t>
  </si>
  <si>
    <t>Black Mtn- Supply Budget - Orion Hall</t>
  </si>
  <si>
    <t xml:space="preserve">Currently funded as OYO temp funds. Re-requesting continued funding. General Operational funds for Black mtn ? Supplies/support for operational and instructional needs to maintain the campus site. In addition to supplies, funds are also used for marketing, special events, and out reach to the community (Welcome weeks, promotional items, campus/community events).
All funds to support Black Mtn are in OYO status, this request would allow us to continue the day-to-day operation of the building and it?s services provided.
Consequence:
Without funds the site would not be able to operate and would be dependent on funds from the various divisions/departments for day to day needs.
</t>
  </si>
  <si>
    <t>Black Mtn - Supply Budget - Aquila Hall</t>
  </si>
  <si>
    <t>Requesting an additional $10,000 to support Aquila Hall (Last yrs request was $17,500, but reduced to 10K which was approved for FY17) General Operational funds for Black mtn ? Supplies/support for operational and instructional needs to maintain the campus site. In addition to supplies, funds are also used for marketing, special events, and outreach to the community (Welcome weeks, promotional items, campus/community events).
Consequence:
Without funds the site would not be able to operate and would be dependent on funds from the various divisions/departments for day to day needs.</t>
  </si>
  <si>
    <t>Early, Mary</t>
  </si>
  <si>
    <t>110-500-131250</t>
  </si>
  <si>
    <t>Learning Assistanc</t>
  </si>
  <si>
    <t>Academic Success Coaching</t>
  </si>
  <si>
    <t>Two temporary success coaches, at $14.14/hour for a combine 35 hours a week for 36 weeks (one at 10 hours a week and the other a 25 hours a week) in FY16 ($17,816 for 36 weeks), contact students who belong to specific cohorts: students placing into developmental classes and students referred by faculty. Academic success coaching targets students who place into at least one developmental class. Of those, approximately 75% pass their developmental classes with an A, B, or C, 81% persist to the next semester, and only 6% withdraw from classes. The increased FTSE more than pays for the cost of the program.</t>
  </si>
  <si>
    <t>1.2, 1.3</t>
  </si>
  <si>
    <t>Increase student persistence and success with reading coaching</t>
  </si>
  <si>
    <t>During the academic year, we need to hire the adjunct faculty member in the Educational Development job because this person works with all subjects and needs to be able to provide the best strategies for students in their various courses. This position also trains the other reading coach in reading development strategies. This position works 10 hours a week for 30 weeks at $27.27/hour ($8,181/year) in the role of educational development. The other reading coach works 10 hours a week at $9.74/hour for 30 weeks ($2,847/year). The total wages for the two come to $11,028 for the year. Through the first years of the program, students using it have passed the classes they have come in for with an A, B, or C 81% of the time. The increased FTSE from student success and persistence exceeds the cost of the program.</t>
  </si>
  <si>
    <t>2.4 - Minimum Services Levels</t>
  </si>
  <si>
    <t>Wages to provide tutoring to PVCC students</t>
  </si>
  <si>
    <t>Tutors consist of part-time and student employees, with hourly wages ranging from $9.09 for those without degrees to $13.64 for adjunct faculty. Everyone eligible for ASRS works fewer than 20 hours a week. Studies have proven that tutoring with a training component, which the LSC mandates for tutors, is one of two out-of-class interventions that increase student success, or passing a course with an A, B, or C, and persistence to the next semester or completion of academic goals. Grade studies of students who use LSC tutoring show that students using tutoring earn more B's and C's and fail or withdraw far less often than their peers in the same classes who do not use tutoring. The difference of withdrawal rates, for example, is 24% for those not using tutoring and 9% for those who work with tutors.</t>
  </si>
  <si>
    <t>Black Mountain tutoring</t>
  </si>
  <si>
    <t>This budget request will pay during the fall and spring semesters for 12 hours a week of science tutoring, 6 hours a week of math, and 2 hours of writing at $13.64 an hour. An additional 6 hours a week of tutoring will come from the LSC learning associate. These wages also include 10 weeks of summer tutoring to include 2 hours a day of math twice a week and 2 hours a day of science and of writing tutoring 4 days a week. The benefit to students is the ability to pass courses more often and withdraw less often, persisting to the completion of their goals. Because we train tutors, we are among the programs demonstrated nationally and longitudinally to have a positive impact upon student success (passing classes) and persistence to the next semester or to the completion of the degree or certificate.</t>
  </si>
  <si>
    <t>Chandler, Norma</t>
  </si>
  <si>
    <t>110-500-141400</t>
  </si>
  <si>
    <t>Career/Job Placement</t>
  </si>
  <si>
    <t xml:space="preserve">Increasing the number of students and community member served and meeting the increased demand. During the last six months the number of walk-ins have increased by 20% and the number of appointments have increased by 33% compared to the same time frame in FY15. The number of students served through classroom presentations increased by 15%. F. There is also an increased demand for Career Services support for internships in STEAM related majors.  The increase for assistance with high schools such as Cactus Shadows, Foothills Academy and North Canyon High School is stretching staff thin.Also increasing visibility with high school bridge programs and high schools (this was funded by Carl Perkins- 20 hours).
</t>
  </si>
  <si>
    <t>1.2, 1.3, 1.5, 2.2</t>
  </si>
  <si>
    <t>FWS Student Office Support</t>
  </si>
  <si>
    <t>College Work Study (CWS)</t>
  </si>
  <si>
    <t>Scinto, Christopher</t>
  </si>
  <si>
    <t>110-500-113570</t>
  </si>
  <si>
    <t>Theatre</t>
  </si>
  <si>
    <t>Part-Time Wages for Theater Productions</t>
  </si>
  <si>
    <t>These funds will pay for personnel such as the director, costumer, sound designer, lighting designer, etc for four theatrical productions during the 2016-2017 season.</t>
  </si>
  <si>
    <t>Capital Non-Technology</t>
  </si>
  <si>
    <t>110-500-111600</t>
  </si>
  <si>
    <t>Music</t>
  </si>
  <si>
    <t>Part-time wages for music department for accompanists</t>
  </si>
  <si>
    <t>Funds will be used to pay accompanists for music classes and performances</t>
  </si>
  <si>
    <t>110-500-113540</t>
  </si>
  <si>
    <t>Art</t>
  </si>
  <si>
    <t>These funds will pay for part-time employees to assist with the art program, including studio maintenance, art show installation assistance, art program outreach assistance.</t>
  </si>
  <si>
    <t>3.1 - Needs for Optimal Service Levels</t>
  </si>
  <si>
    <t>Power PA System Package</t>
  </si>
  <si>
    <t>The request is to purchase a new powered PA system package, which is includes two (2) 3-way powered speakers for main speakers, four (4) 12 powered PA speakers for audience front fills/stage monitors, two (2) 15 subwoofers, and XLR cables and speaker poles for connections. The powered PA system package will be from one of the major PA Speaker companies, such as JBL, Mackie or Bose. The PA system will be used primarily by MUC 197/MUC198 classes (required in AAS degree in audio production), and will support outdoor and outreach performances on campus.</t>
  </si>
  <si>
    <t>New 32-channel digital mixing console</t>
  </si>
  <si>
    <t>Baby Grand Piano</t>
  </si>
  <si>
    <t>3.2 - Needs for Optimal Service Levels</t>
  </si>
  <si>
    <t>110-500-113470</t>
  </si>
  <si>
    <t>Performing Arts</t>
  </si>
  <si>
    <t>Replace torn cyclorama in CPA</t>
  </si>
  <si>
    <t>Rubin, James</t>
  </si>
  <si>
    <t>250-500-262220</t>
  </si>
  <si>
    <t>CPD102ab</t>
  </si>
  <si>
    <t>Testing License</t>
  </si>
  <si>
    <t>Required license to use and print tests.</t>
  </si>
  <si>
    <t>Tests</t>
  </si>
  <si>
    <t>Career assessment tests for CPD150, CPD102AB, and career counseling students and community members.</t>
  </si>
  <si>
    <t>110-500-141160</t>
  </si>
  <si>
    <t>Counseling &amp; Guidance</t>
  </si>
  <si>
    <t>Temp Wages - Administrative Secretary</t>
  </si>
  <si>
    <t>Massey, Scott</t>
  </si>
  <si>
    <t>110-500-111770</t>
  </si>
  <si>
    <t>Chemistry</t>
  </si>
  <si>
    <t>Black Mtn - Aquila Hall - Student/Temporary Lab Assistant for Physical and Life Sciences Department</t>
  </si>
  <si>
    <t xml:space="preserve">Black Mtn - Aquila Hall - Student Lab Assistants, under the direction of the Lab Coordinator and/or Lab Tech, will support Chemistry, Geology, Astronomy, Engineering, Physics and Life Sciences laboratory activities. These individuals will be responsible for assisting in the preparation of precise chemical solutions, assisting with the setup of laboratory equipment for experiments, disposal of chemical waste, and maintaining the student laboratory environment.
All Physical and Life Science courses include a laboratory component. To support the Physical and Life Sciences laboratory program, we have to employ numerous lab assistants. With these individuals the integrity and continuity of the Science laboratories is maintained. If these positions are not funded, the coverage and operations of the Science laboratories at Black Mtn will be compromised.
</t>
  </si>
  <si>
    <t>Black Mtn - Aquila Hall - Base Budget to purchase equipment, supplies, and consumables for Aquila Hall labs.</t>
  </si>
  <si>
    <t>Black Mtn - Aquila Hall - Operation Funds (Base Budget) request for General Laboratory Supplies ? These supplies will be used to support the operational and instructional needs and to maintain the Science labs at the Black Mnt site. These funds will also be used to replace consumable supplies such as; genetic material used for DNA analysis, vertebrate and invertebrate dissection specimens, Chemicals used for making laboratory solutions and other supplies as required by Laboratory Instructors.
If these General Lab Supplies are not purchased and replaced as needed it will not be possible to support most Science laboratory programs at the Black Mtn site.</t>
  </si>
  <si>
    <t>110-500-111750</t>
  </si>
  <si>
    <t>Biology</t>
  </si>
  <si>
    <t>The Student Lab Assistants, under the direction of the Lab Coordinator and/or Lab Techs, will support Life Sciences laboratory activities. These individuals will be responsible for assisting in the preparation of precise chemical solutions, assisting with the setup of laboratory equipment for experiments, disposal of chemical waste, and maintaining the student laboratory environment. All Life Science courses include a laboratory component. To support the Life Science laboratory programs, we have to employ numerous lab assistants. With these individuals, laboratory coverage is provided from 7:00am to 10:00pm, Monday through Thursday and Friday, 8:00am - 2:00pm. With this expanded coverage, the integrity and continuity of the Science laboratories is maintained. If these positions are not funded, the coverage and operations of the Science laboratories will be compromised.</t>
  </si>
  <si>
    <t>Part-Time Day Temporary Administrative Secretary Coverage LS/G Buildings</t>
  </si>
  <si>
    <t>The Life Sciences building requires part-time day administrative secretarial support. The building houses numerous full-time and adjunct faculty and support personnel. Administrative staff support is critical for the functioning of the building and the offering of courses and labs. Full-time and adjunct faculty supported by this individual is required. The workload generated with the operation of this building requires a part-time day administrative secretary. This individual is also back up for the the Administrative staff in G-Building.  If this request is not funded, the efficient operation of programs, courses and laboratories in the Life Sciences building will suffer. Without a part-time day administrative secretary in the building, students will have significantly reduced resources to resolve problems associated with courses, labs, instructors and other issues.</t>
  </si>
  <si>
    <t xml:space="preserve">The Student Lab Assistants, under the direction of the Lab Coordinator and/or Lab Techs, will support Chemistry, Geology, Astronomy, Engineering and Physics laboratory activities. These individuals will be responsible for assisting in the preparation of precise chemical solutions, assisting with the setup of laboratory equipment for experiments, disposal of chemical waste, and maintaining the student laboratory environment.
All Physical Science courses include a laboratory component. To support the Physical Science laboratory program, we have to employ numerous lab assistants. With these individuals, laboratory coverage is provided from 7:00am to 10:00pm, Monday through Thursday and Friday, 8:00am - 2:00pm. With this expanded coverage, the integrity and continuity of the Science laboratories is maintained. If these positions are not funded, the coverage and operations of the Science laboratories will be compromised.
</t>
  </si>
  <si>
    <t>Miller, Carolyn</t>
  </si>
  <si>
    <t>110-500-131080</t>
  </si>
  <si>
    <t>Instructional Design</t>
  </si>
  <si>
    <t>Registration fee for 3 webinar packages for special populations</t>
  </si>
  <si>
    <t>This line item will allow the CTL to partner with other divisions/departments to offer specialized trainings, webinars, or speakers. The focus of these presentation will be based on special populations or positive social change programming. The CTL will split the cost with a participating division/department. If necessary, the CTL will pay for the webinar/presentation when a division/department lack the funding.</t>
  </si>
  <si>
    <t>1.2, 1.3, 1.4, 2.3, 3.1, 3.2</t>
  </si>
  <si>
    <t>Adjunct Faculty paid professional development</t>
  </si>
  <si>
    <t>1.4, 2.1, 3.2, 3.3</t>
  </si>
  <si>
    <t>Capital Technology</t>
  </si>
  <si>
    <t>Part-time Front Office Coordinator</t>
  </si>
  <si>
    <t>In order to continue providing the highest level of support and services we should have a part-time front office coordinator. Currently, we have a part-time OSO supporting 4-CTL MAT employees with unique and specialized skill sets. We have merged the CDL into the CTL, which will mean another unique and specialized area that may need additional support from our part-time temporary worker. It is not in the institution best interest for long-term support.</t>
  </si>
  <si>
    <t>Appreciation and Professional Development for Adjuncts</t>
  </si>
  <si>
    <t>We are requesting money to provide 4 sessions (2 each semester) to support adjunct faculty. Based on a districtwide survey, PVC adjuncts felt underappreciated for the work they do. Since we cannot pay them to attend training or meetings, we would like to provide an appreciation luncheon each semester. Also, provide a 2-hour working luncheon to prepare them for the end of the semester information. This will hopefully build a rapport with our adjuncts and encourage more active involvement in other campus activities. We will be collaborating with the adjunct rep and E&amp;OL.</t>
  </si>
  <si>
    <t>Shadburne, Michaelle</t>
  </si>
  <si>
    <t>110-500-152350</t>
  </si>
  <si>
    <t>Employee &amp; Organizational Learning</t>
  </si>
  <si>
    <t>Temp wages to support the Center for Employee &amp; Organizational Learning</t>
  </si>
  <si>
    <t xml:space="preserve">The Center for Employee &amp; Organizational Learning currently does not have any board approved administrative staff support.  The coordinator position has been filled by temp wages since 2005.  Each year the work load for the center has increased while the temp wages funded and number of hours employees can work had decreased.  In addition to college-wide employee and organizational learning programming, the center is now responsible to support college-wide programming in civic engagement, volunteerism, and sustainability along with support of major college events including the accreditation process and the 30th Anniversary initiative. </t>
  </si>
  <si>
    <t>Funding support needed for college-wide employee activities</t>
  </si>
  <si>
    <t>Permanent base dollars used to support the four college-wide employee meetings was removed from the base budget. This request is for oyo funding to support three college-wide meetings for FY17-18.</t>
  </si>
  <si>
    <t>CWS Support for Center Programming and Initiatives</t>
  </si>
  <si>
    <t>Part-time wages for student worker to support the three areas of focus for the Center for Employee and Organizational learning including employee development, civic engagement and sustainability.  Note CWS funding has been used to support this department since 2012 and in an integral support for this area as well as an excellent learning opportunity for students to develop administrative and organizational skills,</t>
  </si>
  <si>
    <t>OYO Grade 8 Office Coordinator II</t>
  </si>
  <si>
    <t xml:space="preserve">This position will support our accreditation self-study process, climate leadership committment requirements and the 30th anniversary initiative.  All three of these activities are being supported through the Center for Employee and Organizational Learning and administrative support is needed.  As we learned in the past, temp and student workers do not have the institutional background and knowledge nor the employment longevity needed to successfully complete the assignment duties.  Also, there is a shortage of current employees who could be assigned a portion of this work.  Note benefits are not included in this budget price.  I also ask that if the division cannot approve this item, then consideration be given at the college level as this work is to support the college.  </t>
  </si>
  <si>
    <t>1.3 - Legal Required / Obligations</t>
  </si>
  <si>
    <t>Hoang, Nguyen (Huu)</t>
  </si>
  <si>
    <t>110-500-162160</t>
  </si>
  <si>
    <t>Special Project</t>
  </si>
  <si>
    <t>PT Staff for Maintaining College Grant Management and Compliance (19hrs)</t>
  </si>
  <si>
    <t>Without grant management and compliance, the college finance is at risk that may cost college thousands hundred dollars to couple million dollars. President Requested to institutionalize the college grants function, the college grants management fosters PVCC strategic goals, priorities and initiatives through providing leadership and support for stakeholders in obtaining external funds and managing college grant funding. Beside the top priority providing our leadership in grant managing and compliance, conducting full grant reviews, maintain records of college grant activity, creating grant reports, and working in collaboration with the District Grants Offices about college grants matters, our office also assists faculty and staff develop ideas and needs into fundable proposals that support college goals, priority, and initiatives. We conduct research and identify funding opportunities; provide technical support in the review of and development of grant applications. this operational plan requests a personnel staff to continue maintaining the current grant operation and function at PVCC. This request was identified continuously as an operational obligation for PVCC since FY2014-15. PVC may also have a Federal Audit visit in next fiscal year 2017-18.</t>
  </si>
  <si>
    <t>4.1, 4.4</t>
  </si>
  <si>
    <t>1.1 - Legal Required / Obligations</t>
  </si>
  <si>
    <t>Meek, Scott</t>
  </si>
  <si>
    <t>110-500-171011</t>
  </si>
  <si>
    <t>New 12-Passenger Vehicle</t>
  </si>
  <si>
    <t xml:space="preserve">We would like to obtain one new 12 passenger vehicle for college employees and students to attend college related functions that replaced 15 years old vehicle.  Also, currently college restricts on local travel reimbursement to college employees so the number of the requests using college vehicles is increased. Without this request approved, we do not have enough vehicles to provide all requests to college employees. </t>
  </si>
  <si>
    <t>Security Staff Part time wages</t>
  </si>
  <si>
    <t>Students and employees are more likely to remain on campus and continue their education/employment at PVCC if they feel safe, thus affecting student and employee retention. Without additional funds will result in the current level of full time staff and the hours not covered with full time staff to remain at current levels. Historically the part-time wage expense was $90,000 each year. Without part-time budget we would have no security staff on campus after 11pm and holidays.</t>
  </si>
  <si>
    <t>Two Federal College Work Study positions</t>
  </si>
  <si>
    <t xml:space="preserve">Students and employees are more likely to remain on campus if they feel safe, thus affecting student and employee retention. Without additional funds will result in the current level of full time staff and the hours not covered with full time staff to remain at current levels. </t>
  </si>
  <si>
    <t>Goff, Mary Lou</t>
  </si>
  <si>
    <t>110-500-131560</t>
  </si>
  <si>
    <t>Assoc Dean Lrng Re</t>
  </si>
  <si>
    <t>Temporary staff for Computer Commons &amp; Help Desk</t>
  </si>
  <si>
    <t>3.2, 3.3, 3.1</t>
  </si>
  <si>
    <t>Part-time Student Wages</t>
  </si>
  <si>
    <t>OYO Grade 9  Evening Client Support Analyst</t>
  </si>
  <si>
    <t>Replace 36 obsolete computers in E154 and 20 corresponding obsolete computers in the Open Lab</t>
  </si>
  <si>
    <t>The 56 obsolete HP computers in E154 (36) and the Open Lab (20) were purchased July 2011 and meet the criteria for obsolescence replacement.
If this request is not approved, students will not have access to reliable computers.
Please Note:  1/2 of this classroom and the 20 open lab computers were purchased in 2011 with Occupational Funds
Please Note:  These computers were upgraded with solid-state drives in 2016.</t>
  </si>
  <si>
    <t>Replace obsolete computers in E150 (31) and corresponding Open Lab computers (10)</t>
  </si>
  <si>
    <t>Replace 2 Obsolete Computers in Open Lab</t>
  </si>
  <si>
    <t>Replace obsolete computers in E148</t>
  </si>
  <si>
    <t xml:space="preserve">
57700 
Assoc Dean Lrng Re 
Replace 31 Obsolete Computers in E148
JUSTIFICATION: The 30 HP 7320 &amp; 1 HP 8300 computers in E148 purchased in May 2012 meet the criteria for obsolescence replacement.
If this request is not approved, students will not have access to reliable computers in the open lab. 
$49,600.00 
 </t>
  </si>
  <si>
    <t>Emerging Technology</t>
  </si>
  <si>
    <t>Emergency Technology Needs</t>
  </si>
  <si>
    <t>There have been a few failures of equipment that have occurred outside of funding or maintenance cycles.  To ensure instruction and services for students are not interrupted, there should be a contingency of technology capital emergency funds allocated each year.</t>
  </si>
  <si>
    <t>iPad Program Expansion</t>
  </si>
  <si>
    <t>Three faculty have wanted to start using iPads in the classroom and there are not enough iPads to accommodate the requests.</t>
  </si>
  <si>
    <t>Weidner, Corey</t>
  </si>
  <si>
    <t>110-500-112470</t>
  </si>
  <si>
    <t>Data Processing</t>
  </si>
  <si>
    <t>Workstation Replacement (Staff &amp; Instruction)</t>
  </si>
  <si>
    <t>Laptop Workstation Replacement (Staff &amp; Instruction)</t>
  </si>
  <si>
    <t>MFP Workgroup Print Devices</t>
  </si>
  <si>
    <t xml:space="preserve">MFP Workgroup Print Devices: 6
Replace obsolesced workgroup printers and copiers with a single device to consolidate print, copy, scan and fax functions. All of the areas defined have a device that is well past an end-of-life status, and were never part of a formal obsolescence cycle based on print impressions.
Locations:
Welcome Center
Student Life
Counseling
Library
Fitness Center
CPA
</t>
  </si>
  <si>
    <t>Software and Hardware Maintenance</t>
  </si>
  <si>
    <t xml:space="preserve">Microsoft Campus Agreement - Ensures software compliance for Microsoft products across the campus business and classroom. This enables full software licensing compliance and a guarantee of most current version of software for instruction and data center activities. This should be added to the base budget. For FY15 and FY16 it was OYO only. - $15000
Parallels Mac Manager for SCCM -  A new tool purchased last year for desktop management of all Macintosh systems on campus. This is an add-on product for Microsoft System Center, which is used for all computer software imaging, distribution and management. $5000
Cisco Smartnet for network switch, router and VoIP phone software/equipment.
Public Safety Systems - The Ocularis CCTV and S2 access control systems are an obligation and commitment to run all the Public Safety cameras and door access systems. These maintenance contracts maintain support for safety systems critical to incident management and Public Safety investigation/reporting. An additional $15,000 is needed annually to be put in the base budget. It has been funded as OYO for FY15 and FY16. $15000
</t>
  </si>
  <si>
    <t>iPad Checkout Replacement</t>
  </si>
  <si>
    <t xml:space="preserve">iPads: 40
Carts: 2
The entire fleet of iPads in the IT Helpdesk checkout program are now obsolesced. As this new category of computing came about, we were not able to properly forecast the lifespan of these tablets, and have therefore come into an end-of-life cycle rapidly this year. The current devices (5 years +) no longer receive software updates from Apple, and have become rather slow due to the age of the hardware vs new software capabilities. These devices are used in several program disciplines, and have been integrated into a unique student checkout model for certain class sections.  </t>
  </si>
  <si>
    <t>Hamm, Michael</t>
  </si>
  <si>
    <t>110-500-111800</t>
  </si>
  <si>
    <t>Mathematics</t>
  </si>
  <si>
    <t>Evening Division secretary</t>
  </si>
  <si>
    <t>This will provide evening coverage in the math Division office from 2 - 6pm Mon - Thurs for Fall and Spring semesters.</t>
  </si>
  <si>
    <t>Student tutors for MAT 108</t>
  </si>
  <si>
    <t>Continue to provide MAT 108 classes supplemental tutors beyond the one that is assigned to each section. The $25 class fee that MAT 108 students pay covers the one dedicated student tutor. However, if the class fills with 25 students we need 2 additional tutors, since there may be as many as 4-5 different courses represented. If the class has 12 - 18 students, we need one additional tutor. Improved success in MAT 108 will mean better retention in the students' primary math class, which will, in turn, increase the overall success rates in Developmental Math. $1200 will buy us 2 additional tutors (2 sections of 108) for Fall/Spring working 2 hrs/week for 28 weeks at $10/hr.</t>
  </si>
  <si>
    <t>1.2, 1.3, 1.1</t>
  </si>
  <si>
    <t>Powell, Doss</t>
  </si>
  <si>
    <t>110-500-114130</t>
  </si>
  <si>
    <t>Early Childhood Edu</t>
  </si>
  <si>
    <t xml:space="preserve">Early Childhood Education Coordinator </t>
  </si>
  <si>
    <t>ECH Program's National Association for the Education of Young Children (NAEYC) accreditation.</t>
  </si>
  <si>
    <t>Dues maintain ECH programs accreditation and ensures the program's National Association for the Education of Young Children (NAEYC) compliance. NAEYC Higher Education Accreditation ensures that the AAS in ECH course content is aligned with the NAEYC Professional Preparation Standards.</t>
  </si>
  <si>
    <t>Peterson, Nelly</t>
  </si>
  <si>
    <t>110-500-112390</t>
  </si>
  <si>
    <t>Nursing</t>
  </si>
  <si>
    <t>IV simulator, IV pumps</t>
  </si>
  <si>
    <t>Sunder, Paul</t>
  </si>
  <si>
    <t>110-500-114040</t>
  </si>
  <si>
    <t>Fire Science</t>
  </si>
  <si>
    <t>Sustain FSC Skills Lab Instructors &amp; Temp. Lab Tech assistance - Temp wages OYO</t>
  </si>
  <si>
    <t>FSC Program Skills Lab Instructors &amp; Lab Techs</t>
  </si>
  <si>
    <t>320-500-327612</t>
  </si>
  <si>
    <t>Fire Academy</t>
  </si>
  <si>
    <t>Occ Capital Request - Replacement of Fire Fighter Protective Clothing</t>
  </si>
  <si>
    <t>1.2 - Legal Required / Obligations</t>
  </si>
  <si>
    <t>Occ Capital Request - Replacement of Fire Fighter SCBA (self-contained breathing apparatus)</t>
  </si>
  <si>
    <t>Occ Capital Request - Replacement of Firefighting Allied Equipment</t>
  </si>
  <si>
    <t>Fehr, Karen</t>
  </si>
  <si>
    <t>110-500-113550</t>
  </si>
  <si>
    <t>Allied Health</t>
  </si>
  <si>
    <t>Maintain Allied Health Temp. Wages</t>
  </si>
  <si>
    <t>250-500-261930</t>
  </si>
  <si>
    <t>Fitness Center</t>
  </si>
  <si>
    <t>Maintain Fitness Center Part-time Wages</t>
  </si>
  <si>
    <t>110-500-113520</t>
  </si>
  <si>
    <t>EMT</t>
  </si>
  <si>
    <t>Professional Services for EMT Program</t>
  </si>
  <si>
    <t>OYO FT (PSA 10) Position for EMT &amp; FSC</t>
  </si>
  <si>
    <t>PT EMT/Paramedic Skills Lab Instructors</t>
  </si>
  <si>
    <t>The EMT and Paramedic programs require student-instructor ratios established by the Arizona Department of Health Sciences, American Heart Association, National Registry of EMTs, and CAAHEP (national Paramedic program accreditation).  
The consequences of not funding this request may pose the risk that EMT/Paramedic programs will not be able to comply with the state and national instructional standards cited above, and the programs would not be able to provide highly-trained and educated EMS providers to fill immediate EMT and Paramedic positions in the community and state.</t>
  </si>
  <si>
    <t>EMT/Paramedic Skills Lab Evaluators Continuing Request</t>
  </si>
  <si>
    <t>110-500-111720</t>
  </si>
  <si>
    <t>Dance</t>
  </si>
  <si>
    <t>Dance Work Study Student Request</t>
  </si>
  <si>
    <t>1.2, 2.2</t>
  </si>
  <si>
    <t>Temporary Advising Assistance</t>
  </si>
  <si>
    <t>Supplies for Dance Program</t>
  </si>
  <si>
    <t>Funds are being requested or instructional supplies to maintain a high quality dance program.  The funds will be used to purchase 1) costumes, props, and lighting gels to aid in performance, 2) to purchase other needed supplies/equipment for dance concerts and visiting guest artists/choreographers, 3) to purchase safety equipment including marley tape and first aid kit supplies, and 4) to purchase percussion instruments to aid dance rehearsals and ethnic dance workshops.</t>
  </si>
  <si>
    <t>EMT PT PSLA support staff (equipment tech)</t>
  </si>
  <si>
    <t>Continued $20,000 of OYO funding for the EMT/Paramedic Program which has been awarded for at least the last 2 years.  The OYO funding increases the EMT Fund I budget by $20,000, that is the current allocation to support and sustain the growing EMT/Paramedic Program. The $20,000 is for a PT PSLA support staff (equipment tech).</t>
  </si>
  <si>
    <t>280-500-277990</t>
  </si>
  <si>
    <t>EMT Non-Credit</t>
  </si>
  <si>
    <t>Occupational Capital Request - EMT Advanced Military Casuality Simulation Kits</t>
  </si>
  <si>
    <t>2.2, 1.2</t>
  </si>
  <si>
    <t>Occupational Capital Equipment -ECG Code Simulator, 12 Lead L9851003</t>
  </si>
  <si>
    <t>Occupational Capital Request - EMT Airway Larry Airway Mgmt Trainer</t>
  </si>
  <si>
    <t>Occupational Capital Request - EMT Child Airway Mgmt Trainer</t>
  </si>
  <si>
    <t>Occupational Capital Equipment - Intraosseous Infusion Simulator</t>
  </si>
  <si>
    <t>110-500-111740</t>
  </si>
  <si>
    <t>Fitness Center - Non Credit</t>
  </si>
  <si>
    <t>Fitness Center TV replacements</t>
  </si>
  <si>
    <t>The request is to replace old TV's and the mounts that are in F110 (Fitness Center workout classroom).  The TV's are over 15 years old and are not consistently operating properly (including closed caption).  TV technology has changed and these are so old that we are getting complaints from our members.  The boxes that allow the members to listen are so old that most do not work and cannot be fixed (the company has gone out of business.
The price includes the following:  Mounts, 43 windescreeen HDTV, install labor, and all parts.</t>
  </si>
  <si>
    <t>Myers, Carol</t>
  </si>
  <si>
    <t>110-500-131640</t>
  </si>
  <si>
    <t>Audio Visual</t>
  </si>
  <si>
    <t>Replace Projectors</t>
  </si>
  <si>
    <t xml:space="preserve">Replace Projectors: 54
Data projectors are critical to classroom instruction. Most projectors in the M-bldg complex are now reaching an end-of-life status. And we are having a problem with premature failure of the units in the LS building. We need to replace all classrooms at once within each building, so that we can continue to build on the momentum of past device refresh cycles, in which IT has been working to build a regionally-based obsolescence plan.
LS-bldg: 14
J-bldg: 6
Library: 2
Spare: 2
</t>
  </si>
  <si>
    <t>Johnson, Kathaerine</t>
  </si>
  <si>
    <t>Financial Aid</t>
  </si>
  <si>
    <t>FATV Annual License Renewal</t>
  </si>
  <si>
    <t>Puma Pathway Project Fund</t>
  </si>
  <si>
    <t>McDill, Sandra</t>
  </si>
  <si>
    <t>110-500-141830</t>
  </si>
  <si>
    <t>Recruitment</t>
  </si>
  <si>
    <t>Fund Special Recruitment and Outreach events</t>
  </si>
  <si>
    <t>--Need funds to support special events hosted on campus.  This special events require heavy marketing and advertising to key stakeholders and prospective students (i.e. Radio advertisng, postcards and postage etc.).  Food or snacks are usually provided at</t>
  </si>
  <si>
    <t>Purchase PVCC Promotional Items for Marketing and Recruitment strategies</t>
  </si>
  <si>
    <t>OYO wages</t>
  </si>
  <si>
    <t>In order to reach a larger service area and be able to engage prospective students throughout the enrollment funnel we need an OYO recruiter to assist with such work..  We also need dedicated staff to check prospective student data on SIS and then follow- up with a phone call.  Many students came to the Recruitment Office to be assisted further as they finalized their enrollment process. Use Fund 2</t>
  </si>
  <si>
    <t>Need three work study students for office support, tour guides and call center staff</t>
  </si>
  <si>
    <t>Flores, Daniel</t>
  </si>
  <si>
    <t>110-500-141200</t>
  </si>
  <si>
    <t>Veterans Services Center</t>
  </si>
  <si>
    <t>Veterans Services Program Enhancement</t>
  </si>
  <si>
    <t xml:space="preserve">This budget request is to further enhance the Veterans Services Program at PVCC. In order to enhance our program, multiple phases must be conducted to further train internal stakeholders, increase military affiliated student enrollment, increase retention, and ultimately provide a path towards completion for our students. The current budget request is for operational support, which includes; general supplies, printing needs, event planning, and training. Training is an important aspect to the success of the program. The required training provides up-to-date information on federal regulations and ensuring that PVCC maintains compliance with the Veterans Affairs and the Arizona State Approving Agency. Consequences include a static PVCC Veterans Services program without student centered enhancements and possible compliance challenges. </t>
  </si>
  <si>
    <t>Fresques, Audrey</t>
  </si>
  <si>
    <t>110-500-111545</t>
  </si>
  <si>
    <t>Student Development</t>
  </si>
  <si>
    <t>Hoop of Learning Coordinator Salary Supplement</t>
  </si>
  <si>
    <t xml:space="preserve">The Hoop of Learning fund only supports the salary for a coordinator up to $20,000 per academic year.  The additional funds are required to allow a continuation of service of 24 hours a week for the entire academic year. </t>
  </si>
  <si>
    <t xml:space="preserve">Dual Enrollment Part Time Coordinator </t>
  </si>
  <si>
    <t>Mickelsen, Kande</t>
  </si>
  <si>
    <t>110-500-131460</t>
  </si>
  <si>
    <t>Library</t>
  </si>
  <si>
    <t>Adjunct Faculty Support at Black Mountain campus</t>
  </si>
  <si>
    <t xml:space="preserve">Benefit: Enhance point of need service at the Black Mountain campus through the practice of regularly scheduled reference and instruction opportunities on site.
Consequences:  Limitations to collaborative endeavors and initiatives at the Black Mountain campus.
</t>
  </si>
  <si>
    <t>eResources Subscriptions OYO</t>
  </si>
  <si>
    <t>Benefit:  Continue e-subscriptions of databases which support content areas and student learning in all formats.
Consequence:  Non-renewals for resources which support key programs.</t>
  </si>
  <si>
    <t>Laptop Cart w/20 Laptops</t>
  </si>
  <si>
    <t>Benefits:  Small, inviting learning space in the southeast corner as well as additional laptops (which hold a charge) for checkout.
Consequences:  Limited checkout capability; no in-house instruction in SE corner.</t>
  </si>
  <si>
    <t>Preston-Ortiz, Dina</t>
  </si>
  <si>
    <t>110-500-111270</t>
  </si>
  <si>
    <t>Business</t>
  </si>
  <si>
    <t>EEC Social Media Administrative Assistant</t>
  </si>
  <si>
    <t xml:space="preserve">EEC Social Media Administrative Assistant required to support EEC communication and provide personnel for EEC operations serving both students and community. </t>
  </si>
  <si>
    <t>110-500-112530</t>
  </si>
  <si>
    <t>Computer Information Systems</t>
  </si>
  <si>
    <t xml:space="preserve">Priority 1? Replace obsolete computers in E132 (28) and corresponding open lab computers (10) (purchase date 7/2010 </t>
  </si>
  <si>
    <t xml:space="preserve">Replace obsolete computers (Okay with solid state drives) in E136 (33) and corresponding open lab computers </t>
  </si>
  <si>
    <t>Do Nothing this year: (Though room is up for replace obsolete computers in E140 (28) and corresponding open lab computers )</t>
  </si>
  <si>
    <t>Do Nothing: in E140 (28) and corresponding open lab computers (10) (purchase date 7/2012 [occ]) Review again next year.</t>
  </si>
  <si>
    <t xml:space="preserve">Upgrade to SSD drives in E144 and corresponding open lab computers </t>
  </si>
  <si>
    <t>Upgrade to SSD drives in E144 (28) and corresponding open lab computers (12) (purchase date 7/2012 [occ])</t>
  </si>
  <si>
    <t>Priority 3: Replace obsolete computers in E146 (20) (purchase date 11/2010 [occ])</t>
  </si>
  <si>
    <t>?	Replace obsolete computers in E146 (20) (purchase date 11/2010 [occ])
**Additional option is to move the computer from E152 which are newer to E146***</t>
  </si>
  <si>
    <t xml:space="preserve">Priority 2: Replace obsolete computers in E152 and corresponding open lab computers </t>
  </si>
  <si>
    <t>?	Replace obsolete computers in E152 (22) and corresponding open lab computers (8) (purchase date 7/2012 [occ])</t>
  </si>
  <si>
    <t>Espinoza, Lori</t>
  </si>
  <si>
    <t>110-500-151290</t>
  </si>
  <si>
    <t>College Presidents</t>
  </si>
  <si>
    <t>Diversity and Inclusion Programming/Activities for Faculty and Staff</t>
  </si>
  <si>
    <t>PVCC 30th Anniversary Events</t>
  </si>
  <si>
    <t>Estimated expenses for PVCC 30th Anniversary Events $35,100 and expect to raise revenue of about $25,000.</t>
  </si>
  <si>
    <t>Hundley, Christina</t>
  </si>
  <si>
    <t>110-500-144010</t>
  </si>
  <si>
    <t>Mens Athletics General</t>
  </si>
  <si>
    <t>Mandated increases organizational dues</t>
  </si>
  <si>
    <t xml:space="preserve">Region I and  NJCAA 1 have mandated dues increases to the cumulative amounts below:
Region 1 - $900 (men's and women's tennis, baseball)
NJCAA - $200 (men's and women's cross country, women's golf)
Fund allocation needed to offset these cost increases. Dues are mandatory for continued membership in these organizations and subsequent participation in intercollegiate athletics.
 </t>
  </si>
  <si>
    <t>Dominguez, Tereza</t>
  </si>
  <si>
    <t>110-500-111820</t>
  </si>
  <si>
    <t>Math Division</t>
  </si>
  <si>
    <t>Part Time Tutors/Testing Proctor</t>
  </si>
  <si>
    <t>Desktop computers for testing room</t>
  </si>
  <si>
    <t>We need to more desktop computers in the testing room to support the increase of online students, who need their midterm and finals proctored.
Estimated at $500 each</t>
  </si>
  <si>
    <t>Acuna, Angie</t>
  </si>
  <si>
    <t>110-500-141310</t>
  </si>
  <si>
    <t>Dean Of Admissions And Records</t>
  </si>
  <si>
    <t>Requesting Temporary Budget for Staffing</t>
  </si>
  <si>
    <t>Requesting College Workstudy Employees</t>
  </si>
  <si>
    <t>We are requesting three college work-study employees to assist in the A&amp;R Office.  These employees will file, help answer phones as needed and assist staff with projects.  Our goal is to train them in the usage of SIS so they can assist with processing student requests and eventually have them provide service at the front counter.
Not funding this request will mean that paperwork will be left to pile up and staff will get to it as necessary.  This can cause some paperwork to get lost or misplaced.</t>
  </si>
  <si>
    <t xml:space="preserve">Student Services Specialist (OYO) </t>
  </si>
  <si>
    <t>3.1, 3.2, 3.3, 4.1, 1.2</t>
  </si>
  <si>
    <t>110-500-141270</t>
  </si>
  <si>
    <t>Testing</t>
  </si>
  <si>
    <t>Maintenance contract for Scantron</t>
  </si>
  <si>
    <t>Scantron needed to score paper-pencil version of placement tests for students requiring accommodations</t>
  </si>
  <si>
    <t>2.1, 1.2</t>
  </si>
  <si>
    <t>Site License-CELSA</t>
  </si>
  <si>
    <t>Site license for CELSA testing</t>
  </si>
  <si>
    <t>National College Testing Association Dues</t>
  </si>
  <si>
    <t>NCTA (National College Testing Association) institutional membership with up to 10 idividuals participating. This association sets and maintains standards and best practices related to test administration at institutions of higher learning, certifies Test Centers that meet those standards (PVCC's Assessment/Testing Center is certified through NCTA), and promotes communication regarding topics of interest to college test administrators. Membership can really be tied to all our Department/Unit Goals as the information exchanged through NCTA concerns all aspects of testing.</t>
  </si>
  <si>
    <t>Testing Technician PSA Grade 7 (OYO)</t>
  </si>
  <si>
    <t xml:space="preserve">This position should actually be tied to all department goals as this position will be critical in having sufficient staffing to meet even minimum levels of service in all areas. With the elimination of the Testing Coordinator position, there is only 1 permanent board approved staff in Assessment/Testing which is not sufficient to provide adequate service to our students or to maintain minimum levels of staffing required by our agreements with testing companies. These generally require 2 certified staff on duty at all times the center is open. The level of knowledge and the need for certification to administer certain types of tests required by this position makes it difficult to make do with temporary staff. The need for an additional staff member is ongoing and permanent. A permanent position has been requested each year for many years now. Sometimes we are awarded an OYO position, sometimes not, but the need remains. </t>
  </si>
  <si>
    <t>Temporary Staff</t>
  </si>
  <si>
    <t xml:space="preserve">Temporary staff support is needed to provide office coverage when board approved staff are on break or in meetings. Also are required to maintain levels of staffing as required by contracts with various test publishers, generally at least 2 staff members at all times. Temporary staff will also be used to provide coverage for special test sessions such as Enrollment Express, high school outreach programs such as ACE, Hoop of Learning, Early College, and Dual Enrollment as well as testing for recruitment activities for high school seniors. Will also assist with test administration to students with documented disabilities who require special assistance, a separate room, or any accommodations requiring one-on-one staffing such as reading spelling words.
</t>
  </si>
  <si>
    <t>Accuplacer Test Units</t>
  </si>
  <si>
    <t xml:space="preserve">Accuplacer test units required to administer course placement assessments, approximately 25000 units at $1.85 per unit, total $46,250. At this time (1/4/17) the cost remains the same. </t>
  </si>
  <si>
    <t>CELSA Test Units</t>
  </si>
  <si>
    <t>Test units required to administer CELSA placement test for ESL</t>
  </si>
  <si>
    <t>110-500-141250</t>
  </si>
  <si>
    <t>Advising Center</t>
  </si>
  <si>
    <t>OYO Coordinator of Student Services</t>
  </si>
  <si>
    <t>The Coordinator of Student Services will provide additional support to increase the number of academic plans completed by the Advising Dept and positively impact student retention. Currently the advising department has two full-time student service specialist and one coordinator (grade 10). Adding a permanent Coordinator will provide stability for the department and positively impact the departments ability to serve students in a more holistic way. Additionally it will decrease wait-time, increase service time, and allow the advising experience to be more efficient.</t>
  </si>
  <si>
    <t>Hedlund, Ellen</t>
  </si>
  <si>
    <t>110-500-152410</t>
  </si>
  <si>
    <t>Development</t>
  </si>
  <si>
    <t>Operating Budget for Development/Community Relations Office</t>
  </si>
  <si>
    <t>Temp Wages Special Events Coordinator</t>
  </si>
  <si>
    <t>Temp Wages A Building Receptionist/Development Support</t>
  </si>
  <si>
    <t>Annual Service Contract for Graduway Online Alumni Engagement Community</t>
  </si>
  <si>
    <t>Annual Service Contract for Graduway Online Alumni Engagement Community.  Graduway system was procurred in FY14/15 and implemented/launced in Spring 15.  Must maintain system with annual contract.</t>
  </si>
  <si>
    <t>Compensation for music faculty performance(s)</t>
  </si>
  <si>
    <t>Request is for compensation for music faculty performances at special event(s) - Celebrate Paradise and other 30th Anniversary celebrations. If request is not funded, musical entertainment will not be provided. A permanent budget is requested since annual events of this type engage community members, alumni, businesses and donors.</t>
  </si>
  <si>
    <t>Printing for Various Events</t>
  </si>
  <si>
    <t>Printing is required for invitations, programs, and marketing materials for 30th anniversary celebrations and events, as well as any annual events like Celebrate Paradise. If funding is not approved, events and celebrations may not be possible.</t>
  </si>
  <si>
    <t>Membership Dues for Various Chambers</t>
  </si>
  <si>
    <t>PVCC is a member of many Chambers which enhances our community relations. It is imperative for PVCC to remain active in these organizations, attend their events, be present at their regular meetings, network, and showcase PVCC programs and activities, etc. Without this budget allocation, it will be impossible to stay active with these groups.</t>
  </si>
  <si>
    <t>Annual postage including bulk</t>
  </si>
  <si>
    <t>Purchasing our annual bulk postage as well as periodic postage for mailings, invitations, newsletters, thank yous, etc. This is a critical component to the Development Office and the stewardship we provide to our donors and community partners.</t>
  </si>
  <si>
    <t>Annual CASE Conference Attendance</t>
  </si>
  <si>
    <t>Attendance at professional conferences is invaluable to the operations of the Development Office. Learning new fundraising strategies, developing better plans for alumni relations, exploring other institutions' cultivation and stewardship programs, and networking with colleagues across the country greatly enhances the operations of the Development Office at PVCC.</t>
  </si>
  <si>
    <t>Compensation for non-faculty musicians</t>
  </si>
  <si>
    <t>The 30th anniversary celebrations at PVCC will require musicians and they must be compensated.</t>
  </si>
  <si>
    <t>Garcia, Veronica</t>
  </si>
  <si>
    <t>110-500-142000</t>
  </si>
  <si>
    <t>Student Service Coordinators x2 OYO</t>
  </si>
  <si>
    <t>To successfully improve the student experience by providing a seamless and comprehensive service by staff who will possess a broader knowledge of several student affairs' departments (admissions, financial aid, advising and student financials).  The goal is to reduce wait times and provide a more holistic service to students.</t>
  </si>
  <si>
    <t>110-500-142070</t>
  </si>
  <si>
    <t>Student Success, Persistence to Completion Staffing and Materials - PT Wages</t>
  </si>
  <si>
    <t xml:space="preserve">
Students for whom additional support services and interventions are needed will benefit from planned telephonic and in-person contacts.  The goals are to aid with the transition to higher education as well as with the exploration both new and continuing students typically engage in.  Many will need some level of hand-holding.  The student success, persistence and completion initiative will integrate a range of services and approaches to help accomplish the goals of student completion and/or transfer.
If not funded, the consequence would be the lost opportunity to be appropriately intrusive to direct and redirect students to successful outcomes.
</t>
  </si>
  <si>
    <t>Division</t>
  </si>
  <si>
    <t>AA</t>
  </si>
  <si>
    <t>AS</t>
  </si>
  <si>
    <t>SA</t>
  </si>
  <si>
    <t>IT</t>
  </si>
  <si>
    <t>PRE</t>
  </si>
  <si>
    <t>Yes</t>
  </si>
  <si>
    <t>No</t>
  </si>
  <si>
    <t>Budget ID</t>
  </si>
  <si>
    <t>Manager Name</t>
  </si>
  <si>
    <t>Account Number</t>
  </si>
  <si>
    <t xml:space="preserve">Department </t>
  </si>
  <si>
    <t>Budget Request Title</t>
  </si>
  <si>
    <t>Fund Type</t>
  </si>
  <si>
    <t>Planning Priorities</t>
  </si>
  <si>
    <t>Budget Priority</t>
  </si>
  <si>
    <t>Approved Prior Year</t>
  </si>
  <si>
    <t>Expect Perm. Budget</t>
  </si>
  <si>
    <t>Cost Per Item</t>
  </si>
  <si>
    <t>Requested Amount</t>
  </si>
  <si>
    <t>SP1701</t>
  </si>
  <si>
    <t>SP1703</t>
  </si>
  <si>
    <t>SP1704</t>
  </si>
  <si>
    <t>SP1706</t>
  </si>
  <si>
    <t>SP1707</t>
  </si>
  <si>
    <t>SP1708</t>
  </si>
  <si>
    <t>SP1709</t>
  </si>
  <si>
    <t>SP1710</t>
  </si>
  <si>
    <t>SP1711</t>
  </si>
  <si>
    <t>SP1712</t>
  </si>
  <si>
    <t>SP1713</t>
  </si>
  <si>
    <t>SP1714</t>
  </si>
  <si>
    <t>SP1715</t>
  </si>
  <si>
    <t>SP1717</t>
  </si>
  <si>
    <t>SP1718</t>
  </si>
  <si>
    <t>SP1719</t>
  </si>
  <si>
    <t>SP1720</t>
  </si>
  <si>
    <t>SP1721</t>
  </si>
  <si>
    <t>SP1723</t>
  </si>
  <si>
    <t>SP1724</t>
  </si>
  <si>
    <t>SP1725</t>
  </si>
  <si>
    <t>SP1726</t>
  </si>
  <si>
    <t>SP1727</t>
  </si>
  <si>
    <t>SP1729</t>
  </si>
  <si>
    <t>SP1730</t>
  </si>
  <si>
    <t>SP1731</t>
  </si>
  <si>
    <t>SP1732</t>
  </si>
  <si>
    <t>SP1733</t>
  </si>
  <si>
    <t>SP1734</t>
  </si>
  <si>
    <t>SP1735</t>
  </si>
  <si>
    <t>SP1736</t>
  </si>
  <si>
    <t>SP1737</t>
  </si>
  <si>
    <t>SP1738</t>
  </si>
  <si>
    <t>SP1739</t>
  </si>
  <si>
    <t>SP1740</t>
  </si>
  <si>
    <t>SP1741</t>
  </si>
  <si>
    <t>SP1742</t>
  </si>
  <si>
    <t>SP1743</t>
  </si>
  <si>
    <t>SP1744</t>
  </si>
  <si>
    <t>SP1745</t>
  </si>
  <si>
    <t>SP1746</t>
  </si>
  <si>
    <t>SP1747</t>
  </si>
  <si>
    <t>SP1748</t>
  </si>
  <si>
    <t>SP1749</t>
  </si>
  <si>
    <t>SP1750</t>
  </si>
  <si>
    <t>SP1751</t>
  </si>
  <si>
    <t>SP1752</t>
  </si>
  <si>
    <t>SP1753</t>
  </si>
  <si>
    <t>SP1754</t>
  </si>
  <si>
    <t>SP1755</t>
  </si>
  <si>
    <t>SP1756</t>
  </si>
  <si>
    <t>SP1757</t>
  </si>
  <si>
    <t>SP1758</t>
  </si>
  <si>
    <t>SP1759</t>
  </si>
  <si>
    <t>SP1760</t>
  </si>
  <si>
    <t>SP1761</t>
  </si>
  <si>
    <t>SP1762</t>
  </si>
  <si>
    <t>SP1763</t>
  </si>
  <si>
    <t>SP1764</t>
  </si>
  <si>
    <t>SP1765</t>
  </si>
  <si>
    <t>SP1766</t>
  </si>
  <si>
    <t>SP1767</t>
  </si>
  <si>
    <t>SP1768</t>
  </si>
  <si>
    <t>SP1769</t>
  </si>
  <si>
    <t>SP1770</t>
  </si>
  <si>
    <t>SP1771</t>
  </si>
  <si>
    <t>SP1772</t>
  </si>
  <si>
    <t>SP1773</t>
  </si>
  <si>
    <t>SP1775</t>
  </si>
  <si>
    <t>SP1778</t>
  </si>
  <si>
    <t>SP1780</t>
  </si>
  <si>
    <t>SP1781</t>
  </si>
  <si>
    <t>SP1782</t>
  </si>
  <si>
    <t>SP1785</t>
  </si>
  <si>
    <t>SP1786</t>
  </si>
  <si>
    <t>SP1787</t>
  </si>
  <si>
    <t>SP1788</t>
  </si>
  <si>
    <t>SP1789</t>
  </si>
  <si>
    <t>SP1790</t>
  </si>
  <si>
    <t>SP1791</t>
  </si>
  <si>
    <t>SP1792</t>
  </si>
  <si>
    <t>SP1793</t>
  </si>
  <si>
    <t>SP1794</t>
  </si>
  <si>
    <t>SP1795</t>
  </si>
  <si>
    <t>SP1796</t>
  </si>
  <si>
    <t>SP1797</t>
  </si>
  <si>
    <t>SP1798</t>
  </si>
  <si>
    <t>SP1799</t>
  </si>
  <si>
    <t>SP1800</t>
  </si>
  <si>
    <t>SP1801</t>
  </si>
  <si>
    <t>SP1802</t>
  </si>
  <si>
    <t>SP1803</t>
  </si>
  <si>
    <t>SP1804</t>
  </si>
  <si>
    <t>SP1805</t>
  </si>
  <si>
    <t>SP1806</t>
  </si>
  <si>
    <t>SP1807</t>
  </si>
  <si>
    <t>SP1808</t>
  </si>
  <si>
    <t>SP1809</t>
  </si>
  <si>
    <t>SP1810</t>
  </si>
  <si>
    <t>SP1811</t>
  </si>
  <si>
    <t>SP1812</t>
  </si>
  <si>
    <t>SP1814</t>
  </si>
  <si>
    <t>SP1815</t>
  </si>
  <si>
    <t>SP1816</t>
  </si>
  <si>
    <t>SP1817</t>
  </si>
  <si>
    <t>SP1818</t>
  </si>
  <si>
    <t>SP1819</t>
  </si>
  <si>
    <t>SP1820</t>
  </si>
  <si>
    <t>SP1821</t>
  </si>
  <si>
    <t>SP1822</t>
  </si>
  <si>
    <t>SP1823</t>
  </si>
  <si>
    <t>SP1824</t>
  </si>
  <si>
    <t>SP1825</t>
  </si>
  <si>
    <t>SP1826</t>
  </si>
  <si>
    <t>SP1827</t>
  </si>
  <si>
    <t>SP1828</t>
  </si>
  <si>
    <t>SP1829</t>
  </si>
  <si>
    <t>SP1830</t>
  </si>
  <si>
    <t>SP1831</t>
  </si>
  <si>
    <t>SP1832</t>
  </si>
  <si>
    <t>SP1833</t>
  </si>
  <si>
    <t>SP1835</t>
  </si>
  <si>
    <t>SP1836</t>
  </si>
  <si>
    <t>SP1837</t>
  </si>
  <si>
    <t>SP1838</t>
  </si>
  <si>
    <t>SP1839</t>
  </si>
  <si>
    <t>SP1840</t>
  </si>
  <si>
    <t>SP1841</t>
  </si>
  <si>
    <t>SP1842</t>
  </si>
  <si>
    <t>SP1843</t>
  </si>
  <si>
    <t>SP1848</t>
  </si>
  <si>
    <t>SP1849</t>
  </si>
  <si>
    <t>SP1850</t>
  </si>
  <si>
    <t>SP1851</t>
  </si>
  <si>
    <t>SP1852</t>
  </si>
  <si>
    <t>SP1861</t>
  </si>
  <si>
    <t>SP1862</t>
  </si>
  <si>
    <t>SP1865</t>
  </si>
  <si>
    <t xml:space="preserve">Funds to be used to renew the annual license for FATV's 2 modules: GetAnswers and GetSAP.  FATV is a vital tool used by PVCC to help with student retention and completion.  
GetAnswers provides students access to over 300 short videos on all things federal financial aid.  Additionally there are videos on a variety of other topics such as Veterans Education Benefits, scholarships, and financial literacy.  The GetAnswers portal is available on our website 24/7 and is the one of the main focal points of the newly redesigned student friendly website.     
GetSAP provides four (4) custom PVCC tracks on Satisfactory Academic Progress, Pell LEU and 150% Loans using custom videos, case studies and interactive tools.  Additionally, each track has delivered programming for capturing and reporting on student outcomes on a monthly basis.   
Without these tools the financial aid office will see an increase in student dissatisfaction and an increase in the number of students who drop out without successfully completing their degree/certificate.  This could lead to higher student loan default rates. </t>
  </si>
  <si>
    <t>This budget request will be used to pay for the following part time wages for the fiscal year: 
Developmental tutor specialist (separate tutoring area)  $12,000
general math tutoring college level through calculus  $ 30,000
testing proctor  $18,000
Total $60,000</t>
  </si>
  <si>
    <t>Temporary wages are used in the allied health program/courses to assist with advisement, marketing, and program assessment (i.e. tracking of data for accreditation/certification and program completion) and guest speakers.
The allied health programs this request supports include the Dietetic Technology Consortium Program, EXS Strength and Personal Training degree and certificates, the Teaching Healing and Meditation courses/program, transfer courses to 4 year colleges/universities, and the new sustainability courses, 
If not funded, specific program advisement, marketing and program assessment efforts, and guest lecturers will be limited.  The past two years we supplemented allied health marketing funds with te Hold Harmless Funds.  These will not be available next year.
The amount requested has not changed and has been approved for the past 10+ years which is why the yes was marked above to make these funds part of the permanent base budget.</t>
  </si>
  <si>
    <t xml:space="preserve">To maintain the Fitness Center part-time temp. wages for 2017-2018 that were in the 2016-2017 budget.  The part-time temp. wages provide for support staff needed by the Fitness Center to maintain current operations/courses.
Consequences of not funding this request is that there will be less support for Fitness Center students, employees and community members.  This funding is used for Fitness Center Tech. that is responsible for maintaining accurate tracking and records (i.e. student program adherence, student communication through Canvas, communication with students that enroll throughout the semester, assigning new students to faculty, etc...).
</t>
  </si>
  <si>
    <t>Cadaver lab provides an opportunity for Paramedic students to experience human anatomy with a live model and perform advanced level invasive skills.
Failure to provide funding for this service jeopardizes human anatomy training and Paramedic students do not receive credit for advanced invasive skills required for state and national certification.</t>
  </si>
  <si>
    <t xml:space="preserve">The exploding EMT programs are currently staffed with two full-time board approved RFPs to manage the EMT/Paramedic programs. 
Currently, the EMT/FSC programs are sharing one full-time, specially funded PSLA. 
The original EMT budget was created to support five EMT101, five EMT104, three EMT200 and five HCC109 sections annually (18 total). Since then, the EMT program now provides a total of 60+ sections, including advanced EMT Paramedic Programs. The EMT program has experienced continuous enrollment growth since 2001.  This growth, along with the growth in Fire Science Program supports the need for this position.  
With a permanent board-approved PSLA position and increase in administrative and operational support, the EMT/Paramedic programs will be able to focus on meeting the needs of our growing student population and our customers in the Fire and EMT/Paramedic services.
The consequences for not funding this request is that the EMT/Paramedic and Fire Science programs will not be able to provide the community with the well-trained EMT/Paramedic and Fire Science staff they need and/or students will seek other institutions for their education.
</t>
  </si>
  <si>
    <t>The EMT and Paramedic programs require student-instructor ratios established by the Arizona Department of Health Sciences, American Heart Association, National Registry of EMTs, and CAAHEP (national Paramedic program accreditation).  
The consequences of not funding this request may pose the risk that EMT/Paramedic programs will not be able to comply with the state and national instructional standards cited above, and the programs would not be able to provide highly-trained and educated EMS providers to fill immediate EMT and Paramedic positions in the community and state.</t>
  </si>
  <si>
    <t xml:space="preserve">The Early College Programs Office is requesting budget support to create a part time Dual Enrollment Coordinator position to alleviate workload from the Puma College Connection Coordinator.  This will allow for a greater program focus, especially now that we have added an additional Dual Enrollment school site and anticipate an increase in student enrollment.  
The budget amount of $27,000 is being requested to support a 24 hour a week employee at $15.00 an hour plus any related benefits required as part of their compensation. </t>
  </si>
  <si>
    <t>Student/ Temporary Lab Assistant for Life Science</t>
  </si>
  <si>
    <t>Student/ Temporary Lab Assistant for Physical Science</t>
  </si>
  <si>
    <t xml:space="preserve">In previous years, PVCC has paid adjunct faculty to attend and participate in EDGE and Ready, Set, Go, which are two programs that focus on pedagogy and philosophy of a learning centered college.  
READY, SET, GO-- 4(sessions) per year. Each sessions 40 adjunct faculty for a total of 160 adjunct faculty. This is a 3-hour session at 27.50 per hour, which totals $13,200.00 </t>
  </si>
  <si>
    <t>Temporary funding for Black mtn staffing, Testing Technician.?- Position is currently funded as OYO temp funds. Re-requesting continued funding. 
Staffing for Placement Testing is necessary to maintain the current Assessment services offered.  
Consequence:
 Black Mtn continues to grow in both enrollment and class offerings (SP13 +65%, SM13 - +66%, FA13 +42%, SP14 -15%, FA14 1%. (SP 14 is reflective of a re-correction/re-balance from the very large growth the previous year SP13 (65%). 
Staff is cross trained on multiple functions. 
(currently FY15-16 one of these positions is which was temp funded from DPLab fund, is now a FTE position. The testing position still needs the temp funds for FY16-17)</t>
  </si>
  <si>
    <t>Staffing for Admin Assistant position is funded currently as OYO [$43,725], Re-Requesting continued funding at 40 hrs/ 1.0 position. 
Performs secretarial and administrative support duties at the Black Mountain site. Position is a blend of office coordinator for the site and instructional/division support for instructors; coordinates with management on classroom and community scheduling. Position generates and compiles daily statistical reports and maintains multi-charge center budget.
Position provides essential coverage for the operation and support services to Black Mountain.</t>
  </si>
  <si>
    <t>Early Childhood Education requires an Early Childhood Education Coordinators to provide educational offerings, special projects, data collection for pre-service and early childhood education programs. ECE coordinator oversees PVCC ECE students experiences with agencies and programs in the community, works to improve the quality of internship experiences for CCL and AAS students, provides support to grant work that supports students, serves as a liaison with other colleges, business/industry to ensure that the ECE occupational program is current and up to date, and ensures the program's National Association for the Education of Young Children (NAEYC) accreditation compliance.  In addition, the ECE Coordinator collects and monitors early childhood education data; plans and conducts recruitment activities and visits; develops and implements marketing strategies for early childhood education programs; establishes new partnerships with school districts and expand current partnerships with school districts and the external educational community to promote enrollment in early childhood education programs; provides advisement to students and potential early childhood education students; performs related duties as assigned.
GRADE: 4078 (Temporary Equivalent to MAT Grade 14 @19.5 hours per week)</t>
  </si>
  <si>
    <t xml:space="preserve">The Counseling and Personal Development Division provides a comprehensive counseling instruction and service program to assist students, staff, and community members to attain their academic, career, and personal goals. 
* This position provides direct and indirect support to counselor, service faculty and the learners they serve;
* This position will help provide support for the administrative tasks associated with iStartSmart?s college success classes
* This position provides technical support to assess division efficiency, effectiveness and impact on student learning outcomes; 
* This position schedules faculty, staff and students appointments;
* The clerical and technical support this position provides is essential in order for the division to fulfill its mission and to become more comprehensive and niche-focused. 
*Counselors work with such student population niches as student athletes, students attending orientation (which will likely be required for developmental students), ESL students, and adult re-entry students. Without adequate staffing infrastructure, the ability for Counselors to work effectively and efficiently with these populations can become compromised.
USTIFICATION
1. A receptionist position for the Counseling Division has been requested for the past 13 years without being funded. The division had an OYO position for 6 years until 7 years ago when that position was eliminated. For the past 7 years the division has been using temporary funds for this position. Further, the funds were cut by 22% a several years ago which meant a reduction in staff for a position that was already under-funded. For stability purposes, this position should be funded as a full-time position. We are simply requesting temporary funds to maintain the last several years of staffing needs.
2. Significant increases in division staffing, growth and comprehensiveness of division curriculum and services, and student utilization of division programs and services has occurred.  Accordingly, demands on the time and role and function of this position have increased.
3.  With the new student Welcome Center, especially designed for new students, staffing has become even more significant. The need for an administrative assistant is critical to meet student's needs.
CONSEQUENCES FOR NOT FUNDING
1. Less likelihood for Counseling to meet student?s needs appropriately, timely, and adequately.
2. Decline in Counseling organizational efficiency and effectiveness
3. Potential reduction in student access to counseling programs and services.
4. Less success with iStartSmart as those students are heavy users of Counseling
</t>
  </si>
  <si>
    <t>Part-time funds for art program</t>
  </si>
  <si>
    <t>Sustain existing funding for the FSC budget, in order to pay for Skills Evaluators, part-time Instructors, and part-time temp help (lab techs), which are required in order to offer classes and to sustain the FSC Program. This request has been funded each year.
Consequences of not funding this request are that the FSC Program will have to cancel some classes/reduce enrollments (FSC102 - Fire Operations). In order for us to offer the core courses, the funding is necessary for the Skills Lab Instructors, Evaluators, and part-time temp help that are required by local, state &amp; federal regulations. The PVCC Firefighter Operations Academy (FSC102) is the largest, and also recognized as the best, Firefighter candidate academy in the state and is the cornerstone of entry-level fire fighter training, education and career preparation. This course supports the other courses offered and encourages the students to persist towards program completion.
The FSC program would also not be able to meet the community needs by providing highly educated and trained workers to fill immediate firefighter positions in Maricopa County, as well as statewide, and nationwide. Additionally, we will not be able to service our students and they will seek other programs at other colleges to fulfill their FSC education, training, and developmental needs.</t>
  </si>
  <si>
    <t>Sustain existing funding for the FSC budget, in order to pay for Skills Evaluators, part-time Instructors, and part-time temp help (lab techs), which is required in order to offer classes and to sustain the FSC Program. This request has been funded each year.
Consequences of not funding this request are that the FSC Program will have to cancel some classes/reduce enrollments (FSC102 - Fire Operations). In order for us to offer the core courses, the funding is necessary for the Skills Lab Instructors, Evaluators, and part-time temp help that are required by local, state &amp; federal regulations. The PVCC Firefighter Operations Academy (FSC102) is the largest, and also recognized as the best, Firefighter candidate academy in the state and is the cornerstone of entry-level fire fighter training, education and career preparation. This course supports the other courses offered and encourages the students to persist towards program completion.
The FSC program would also not be able to meet the community needs by providing highly educated and trained workers to fill immediate firefighter positions in Maricopa County, as well as statewide, and nationwide. Additionally, we will not be able to service our students and they will seek other programs at other colleges to fulfill their FSC education, training, and developmental needs.</t>
  </si>
  <si>
    <t xml:space="preserve">The HR Office requires consistent, knowledgeable front desk staff to ensure exceptional customer service, assure new hire documents comply with federal and state laws, and MCC policies and procedures related to basic HR functions. This position enters all new hires data into HRMS, is responsible for I-9 documentation, provides assistance with Payroll functions, and oversees records management for personnel files and all adjunct faculty files.  Continuing OYO funding for an HR Assistant will ensure that laws, policies, procedures and paperwork related to core HR functions are handled in a consistent, accurate and timely manner. This position enters all new hires data into HRMS, is responsible for I-9 documentation, provides assistance with Payroll functions, and oversees records management for personnel files and all adjunct faculty files. 
The loss of funding for this position would be extremely detrimental to the operation of the HR office. The loss of this position would negatively impact customer service and result in delays in all HR processes, particularly related to support functions in the recruitment, screening and hiring areas.  We currently have an inclumbent in this role who is trained and provides exceptional service to faculty, staff and senior management at PVCC. The loss of funding for this position would cause significant negative impact to the department and to PVCC, and would slow down virtually every HR process. 
</t>
  </si>
  <si>
    <t>The Computer Commons relies on temporary staff to provide services to students, faculty and staff.
The Commons staff provide support, Monday through Thursday, 7:00am - 10:00pm; Friday, 7:00am - 7:00pm; Saturday, 7:30am - 4:00pm.
The Help Desk relies on temporary staff to provide services to students, faculty and staff.
The Help Desk provides support, Monday through Friday, 7:00 am - 7:00 pm.
If this request is not funded, it would compromise the ability of the Commons and the Help Desk to provide timely support to students, faculty and staff and could result in a reduction of service hours.
Commons Temps - $45,000
Help Desk Temps - $66,250
Laptop Cart Temp - $16,250
Total: $127,500</t>
  </si>
  <si>
    <t>The Computer Commons relies on part-time staff to provide services to students, faculty and staff.
The Commons staff provide support, Monday through Thursday, 7:00am - 10:00pm; Friday, 7:00am - 7:00pm; Saturday, 7:30am - 4:00pm.
If this request is not funded, it would compromise the ability of the Commons to provide timely support to students, faculty and staff and could result in a reduction of service hours.</t>
  </si>
  <si>
    <t>This is a critical position needed to provide evening coverage at the Help Desk.
Consequence of not funding this position - We would need to reduce the service hours for the Help Desk.</t>
  </si>
  <si>
    <t xml:space="preserve">The position is essential to maintain and improve the operational effectiveness and efficiency in executing special events in support of resource development, community relations and official college ceremonies.  The position is critical to support the activities of the MCCF Major Gift Campaign and to further engagement and stewardship efforts with donors, donor prospects, community/business leaders, alumni, retirees, supporters, alumni and other external constituents. This position supports the work of the Office of Development and Community Relations and the Office of the President.
The Development/Community Relations office will need the continued the services of a part-time Community Relations specialist currently funded through an OYO wages allocation.  It will be critical to have this position with part-time Temporary or Board-approved staffing to continue to support efforts related to community/special events and to increase the number of development, alumni and community engagement functions of the college, as recommended by the current (2010/11) organizational review/campaign planning study by MCCF consultant The Phoenix Philanthropy Group and the Balser Group Study (2007) commissioned by the MCCD Foundation and supported by the District?s strategic plan and desire for comprehensive resource development operation at each of the colleges.
If this position is unfunded the college will not be able to fully and effectively participate in the MCCF Major Gift Campaign.  We will not be able to meet the current level of service and support to the campus community in regards to special events.  We will not be able to sustain the current progress made in elevating the level of professionalism, quality and operational efficiency of special events.  Progress will be stalled in developing plans for new donor stewardship, cultivation activities and alumni/community leader/donor engagement and recognition events in support of resource development.
Coordinator Special Events  MAT 13
Temp Wages $10,000  ($19/hr x 15 hr/wk x 35 weeks)
</t>
  </si>
  <si>
    <t xml:space="preserve">Receptionist and Support Staff for Development.  This position is essential to maintain and improve the operational effectiveness and efficiency of the Administration Office and supports the work of the Office of Development and Community Relations and the Office of the President. 
If this position is unfunded the college will not be able to sustain the current levels of professionalism, quality and operational efficiency the Administration Office and the Development Office Operations.  We will not fully and effectively participate in the MCCF Major Gift Campaign.  We will not be able to meet the current level of service and support to the campus community in regards to special events.  We will not be able to sustain the current progress made in elevating the level of professionalism, quality and operational efficiency the Development Office Operations. Progress will be stalled in developing plans for new donor stewardship, cultivation activities and alumni/community  leader/donor engagement and recognition events in support of resource development.
Office Assistant Temp Level 3
Temp Wages $18,540  ($15.45/hr x 24 hr/wk x 50 weeks)
</t>
  </si>
  <si>
    <t xml:space="preserve">Operating resources are essential in order to successfully support the resource development efforts in the areas of fund raising, donor relations/stewardship, donor prospect development, alumni relations, community relations and special events activities, and the day to day operations of the Development and Community Relations office.
The previous operating Fund 1 budget (other than two Board-approved staff salaries) for this unit had been funded on an OYO basis with no base budget.  Continued OYO fund support or a base budget allocation will be needed for basic operations such as supplies, equipment, materials, collateral, postage, contractual services, professional development/travel, and any projects/programs, initiatives or events.
A modest budget allocation is needed to support the current initiatives and new efforts in development such as: support for the Annual Community Awards and Donor Recognition event,  Scholarship/Donor event, President Community Advisory Council, Philanthropy Council, the creation of an annual giving program, donor cultivation and stewardship activities/events, implementing a donor/alumni/community electronic communications system, related fund raising and community relations collateral, postage and events, the creation of an alumni program, professional services for program development, support and consulting, and community relations memberships and sponsorships. Support for preparation and full participation in MCCF Major Gift Campaign will also require additional resources. These efforts will need to be properly supported in order to increase the development function of the college, as recommended by the current (2010/11) organizational review/campaign planning study by MCCF consultant The Phoenix Philanthropy Group and the Balser Group Study (2007) commissioned by the MCCD Foundation and supported by the District?s strategic plan and desire for comprehensive resource development operation at each of the colleges.
If not funding the Development and Community Relations office will be not be able to operate to carry out the mission of the office and the college will not make progress in resource development, community relations and alumni relations initiatives.  The college will not be able to fully and effectively participate in the MCCF Major Gift Campaign.
Additional Object Codes include:  53550 Official Functions, 53210 Professional Services, 53500 Advertising, 53300 Printing, 54100 General Supplies, 55400 Organizational Dues, 56210 Postage, 56515 Registration, 59835 Awards/Honorariums
</t>
  </si>
  <si>
    <t xml:space="preserve">A college work study student can assist with secretarial functions needed to support the Dance Program.  These functions include assisting with marketing, mailings, student tracking, special projects, etc.
Consequences of not funding this request include less secretarial support for the Dance Program.  </t>
  </si>
  <si>
    <t xml:space="preserve">Purchase promotional items to increase PVCC's image and visibility throughout the community(pens, pencils, bags, shirts and other promotional items).  
-- PV Promotional products are a powerful tool to attract prospective students to campus.  They catch the eye potential students and provides a smooth connection between recruiters and prospective students to talk and ask questions.  They sometimes also leave a lasting impressions and long lasting marketing potential for the college. 
--The Recruitment Office is now the hub of most PVCC promotional items and all campus departments requests items for multiple events.  </t>
  </si>
  <si>
    <t xml:space="preserve">Need two (2) students for office support (one in the morning and one in the afternoon)
   *  Maintain job posting databases / fliers
   *  Update office brochures and fliers
   *  Answer phones, take messages, schedule appointments
   *  Greet/meet and support students when Career Advisors have appointments, meetings, or presentations
   *  Assist with job fair planning and event/meeting scheduling
   *  Assist financial aid students to fax documents
JUSTIFICATION
Federal Work study students provide integral office support (see above) for Career Services.  
CONSEQUENCES FOR NOT FUNDING 
Without federal work study office support, the current level of services (see above) will be unable to be maintained.
</t>
  </si>
  <si>
    <t>Need four (3) work study students for office support, tour guides and as call center staff(phone campaigns)
   --Maintain prospective student data  
   --Gather and put together recruitment materials to be used for recruitment events and preserntations
   --Send out requested materials to prospective students
   --Answer phones, take messages, schedule appointments
   --Greet/meet and support students when recruiters have appointments, meetings, or presenations
   --Assist with recruitment events
   --Coordinate and provide campus tours
   --Assist with calling campaigns when necessary
JUSTIFICATION
Federal Work study students provide integral office support (see above) and are great ambassadors for the college.  
CONSEQUENCES FOR NOT FUNDING 
Without federal work study office support, the current level of services (see above) will be unable to be maintained.</t>
  </si>
  <si>
    <t>Workstation Replacement (Staff &amp; Instruction): 596
Instructional (201)
K117 (Entrepreneurship Center, Purchased FY2014-15): 11
Q Atrium (Open Computing, Funding Denied FY2015-16): 23
Q304 (Math Computer Lab, Funding Denied FY2015-16)(SSD drives 2016) : 33
Q305 (Math Computer Lab, Funding Denied FY2015-16)(SSD drives 2016) : 33
Q152 (ContEd Computer Lab, Funding Denied FY2015-16): 25
LSC (Labs)(SSD drives 2016) : 30
E102B (Library Classroom, Funding Denied FY2015-16)(SSD drives 2016) : 36
HS Nursing: 10
Computer Commons Classrooms and Open Lab (336)
E132 ? 28 [7/2010] OCC (BUS/IT) + 10 Tables B &amp; C (SSD drives 2016) (Funding Denied FY2016-17)
E136 ? 33 [7/2012] OCC (BUS/IT) + 9 Tables C &amp; F
E140 ? 28 [7/2012] OCC (BUS/IT) + 10 Tables G &amp; I
E144 ? 28  [7/2012] OCC (BUS/IT) + 12 Tables J, K, &amp; M
E146 ? 20 [11/2010] OCC (BUS/IT)
E148 ? 31 [5/2012]
E150 ? 31 [7/11] OCC (Goff) + 10 Table E
E152 ? 22 [7/2012] OCC (BUS/IT) + 8 Table N
E154 ? 36 [7/11] (Goff) + 20 Tables A &amp; D (SSD drives 2016) (Funding Denied FY2016-17)
General Instructor Stations: 4
-----------------------------------------
Employees (59)
General: 49
Anticipated New Hires: 10</t>
  </si>
  <si>
    <t>Laptop Workstation Replacement (Staff &amp; Instruction): 105
Instructional (105)
M (Cart M3) Laptops: 30
HS (Nursing) Laptops: 8
Q (Math Center) Laptops: 7
Q (Cart Q1) Laptops: 30 Cart: 1
Q (Cart Q4) Laptops: 30 Cart: 1
Staff (10)
General Staff: 6
New Hires: 4</t>
  </si>
  <si>
    <t>PreSonus StudioLive 32 Series III - 32-channel Digital Mixer/Recorder
This mixer will be used by students in MUC 197/198 classes (required in AAS in audio production) to support course objectives as well as provide students with training on the latest technology in digital live audio.
This particular digital mixer is very portable, can be used in class sessions as well as one-on-one labs, and has the ability to record performances without a computer, which is very useful in the assessment of student projects.</t>
  </si>
  <si>
    <t xml:space="preserve">The 31 iMac obsolete computers in E150 and 10 corresponding open lab computers were purchased in July 2011 and meet the criteria for obsolescence replacement.
If this request is not approved, students will not have access to reliable computers.
Please note:  Occupational funds were used to purchase these computers in 2011. 
</t>
  </si>
  <si>
    <t>Advanced Military Casualty Simulation Kit, A0142, from Boundtree Medical, 2 @ $645 each, total $1290.00
Consequence of not funding is that the equipment will not be available to support educational delivery in the EMT/Paramedicine programs.</t>
  </si>
  <si>
    <t>ECG Code Simulators, 12 Lead L9851003 from Boundtree Medical, 6 @ $850 each for a total of $5100.00
Consequences of not funding are that equipment will not be available as needed to support educational delivery in the EMT/Paramedicine Programs.</t>
  </si>
  <si>
    <t>Airway Larry Airway Management Trainer, LF03699UG, Nasco Lifeform, 6 @ $875, Total $5250.
Consequences of not funding would be failure to provide adequate resources for skills training for EMT/Paramedicine.</t>
  </si>
  <si>
    <t xml:space="preserve">Child Airway Management Trainer with Advanced Airway Management, LF03663UG, NASCO Lifeforms, 3 @ $985, Total - $2955.
Consequences of not funding would be failure to provide adequate resources for skills training for EMT/Paramedicine.
</t>
  </si>
  <si>
    <t>Intraosseous Infusion Simulator, LF01108UG, Nasco Lifeforms,  2 @ $650, Total - $1300.
Consequences of not funding would be failure to provide adequate resources for skills training for EMT/Paramedicine.</t>
  </si>
  <si>
    <t>Many of the FSC classes require the use of specialized fire fighting clothing, which includes helmet, turnout coat, turnout pants, suspenders &amp; boots)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
FSC102 has been the principle reason for the overall growth of the FSC program. Since the first offering of this course, approx 1,000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Spr 2007 to Fall 2016, 590 CCL?s and 148 AAS degrees have been awarded-per IE). Students are drawn to this program due to the quality of instruction, learning strategies, established partnerships, quality of equipment and learning facilities, which has contributed to a 95.75% pass rate on the AZ State FF I &amp; II certification written exam since spring 2013. During that same period, students have also achieved a 100% success rate on the manipulative skills portion of the same certification test.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approx 480 students have been hired as professional firefighters, ranging from Hawaii to New York.
Additionally, this equipment need is to ensure compliance with the industry standard for safety through a certified, scheduled maintenance and repair/replacement process involving the necessary firefighting protective clothing used in manipulative skills instruction and testing. The required safety equipment is very costly and is utilized by each student during every class in order to meet the firefighter core competencies. These core competencies and safety procedures are mandated and regulated by the NFPA (National Fire Protection Association), OSHA (Occupational Safety &amp; Health Administration), AzCFSE (AZ Center for Fire Service Excellence), IAFF (International Association of Fire Fighters), and IFSAC. By providing this essential piece of safety equipment, the students will be able to participate in the curriculum required manipulative skills, thus providing them with the opportunity for skill mastery, curriculum completion and success by earning the CCL in Firefighter Operations.
The consequences of not funding this request will result in the FSC program running the real risk of not being able to meet the community needs; by providing highly educated and trained fire fighter candidates to fill immediate firefighter positions around the state, let alone in the Maricopa region. It will result in a severe compromise to the safety of all of the students, as well as to the mandated safety requirements set forth by Federal, State &amp; Local agencies. The students will not be able to complete the required skills eliminating the opportunity to achieve curriculum completion &amp; success, as well as State &amp; National accredited certification as firefighters, which is a minimum requirement for employment. This will have a significant negative impact on workforce development. The firefighting protective clothing has a limited operational life span and safety of the students is always our #1 priority. Additionally, we will not be able to service our students and they will seek other programs, at other colleges, to fulfill their needs.</t>
  </si>
  <si>
    <t>Many of the FSC classes require the use of an SCBA (self-contained breathing apparatus)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
FSC102 has been the principle reason for the overall growth of the FSC program. Since the first offering of this course, approx 1,000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spr 2007 to fall 2016, 590 CCL?s and 148 AAS degrees have been awarded-per IE). Students are drawn to this program due to the quality of instruction, learning strategies, established partnerships, quality of equipment and learning facilities, which has contributed to a 95.75% pass rate on the AZ State FF I &amp; II certification written exam since fall 2013. During that same period, students have also achieved a 100% success rate on the manipulative skills portion of the same certification test.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approx 480 students have been hired as professional firefighters, ranging from Hawaii to New York.
Additionally, this need is to ensure compliance with the industry standard for safety through a certified, scheduled maintenance and repair/replacement process involving the necessary firefighting protective equipment used in manipulative skills instruction and testing. The required safety equipment is very costly and is utilized by each student during every class in order to meet the firefighter core competencies. These core competencies and safety procedures are mandated and regulated by the NFPA (National Fire Protection Association), OSHA (Occupational Safety &amp; Health Administration), AzCFSE (AZ Center for Fire Service Excellence), IAFF (International Association of Fire Fighters), and IFSAC. By providing this essential piece of safety equipment, the students will be able to participate in the curriculum required manipulative skills, thus providing them with the opportunity for skill mastery, curriculum completion and success by earning the CCL in Firefighter Operations.
The consequences of not funding this request will result in the FSC program running the real risk of not being able to meet the community needs; by providing highly educated and trained fire fighter candidates to fill immediate firefighter positions around the state, let alone in the Maricopa region. It will result in a severe compromise to the safety of all of the students, as well as to the mandated safety requirements set forth by Federal, State &amp; Local agencies. The students will not be able to complete the required skills eliminating the opportunity to achieve curriculum completion &amp; success, as well as State &amp; National accredited certification as firefighters, which is a minimum requirement for employment. This will have a significant negative impact on workforce development. The SCBA has a limited operational life span and safety of the students is always our #1 priority. Additionally, we will not be able to service our students and they will seek other programs, at other colleges, to fulfill their needs.</t>
  </si>
  <si>
    <t xml:space="preserve">Many of the FSC classes require the use of specialized fire fighting equipment, e.g. chainsaws, rescue saws, Humat valves, gated wye valves, etc.) and the replacement and repair of this equipment is necessary to meet the federal safety standards and to maintain the safety of our students. The demand for these courses has exploded nationally as these courses provide the opportunity for IFSAC, ProBoard, NWCG and/or NFPA certification.
FSC102 has been the principle reason for the overall growth of the FSC program. Since the first offering of this course, approx 1,000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Spr 2007 to Fall 2016, 590 CCL?s and 148 AAS degrees have been awarded-per IE). Students are drawn to this program due to the quality of instruction, learning strategies, established partnerships, quality of equipment and learning facilities, which has contributed to a 95.75% pass rate on the AZ State FF I &amp; II certification written exam since spring 2013. During that same period, students have also achieved a 100% success rate on the manipulative skills portion of the same certification test.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approx 480 students have been hired as professional firefighters, ranging from Hawaii to New York.
Additionally, this equipment need is to ensure compliance with the industry standard for safety through a scheduled certified maintenance and repair/replacement process involving the necessary firefighting protective equipment, and other allied equipment, used in manipulative skills instruction and testing. The required safety equipment is very costly and is utilized by each student during every class in order to meet the firefighter core competencies. These core competencies and safety procedures are mandated and regulated by the NFPA (National Fire Protection Association), OSHA (Occupational Safety &amp; Health Administration), AzCFSE (AZ Center for Fire Service Excellence), IAFF (International Association of Fire Fighters), and IFSAC. By providing this essential piece of safety equipment, the students will be able to participate in the curriculum required manipulative skills, thus providing them with the opportunity for skill mastery, curriculum completion and success by earning the CCL in Firefighter Operations.
The consequences of not funding this request will result in the FSC program running the real risk of not being able to meet the community needs; by providing highly educated and trained fire fighter candidates to fill immediate firefighter positions around the state, let alone in the Maricopa region. It will result in a severe compromise to the safety of all of the students, as well as to the mandated safety requirements set forth by Federal, State &amp; Local agencies. The students will not be able to complete the required skills eliminating the opportunity to achieve curriculum completion &amp; success, as well as State &amp; National accredited certification as firefighters, which is a minimum requirement for employment. This will have a significant negative impact on workforce development. The firefighting protective clothing has a limited operational life span and safety of the students is always our #1 priority. Additionally, we will not be able to service our students and they will seek other programs, at other colleges, to fulfill their needs.
</t>
  </si>
  <si>
    <t xml:space="preserve">The Fitness Center provides the usage of fitness equipment to approximately 2,000 students ranging from 14 through 93 years of age, each week of the year. Instructor's instruct students on how to use the equipment and explain to them the benefits of exercise for their health and wellness. The constant use of the Ellipticals has caused a lot of wear and tear on them and they need to be replaced. Increase repair bills on the present Ellipticals have do not make it cost effective to continue the repairs.
The constant usage of the fitness equipment by this many people makes it necessary to replace the equipment in a timely manner to prevent injury to members and/or liabilities to the College. I equipment is not updated, it becomes costly in repair bills.
</t>
  </si>
  <si>
    <t xml:space="preserve">The request is to purchase a new baby grand piano for N-101. Currently, there is an older, donated Baldwin baby grand piano which is becoming very costly to maintain with the contact heavy use from piano lessons, classes and ensembles. The music department needs a new or high quality used baby grand piano to take its place. The requested piano can be anywhere between 5'2-6' and be from Yamaha or Baldwin, which are pianos known to stand up to heavy use and maintain their value over time.
 A new piano would approximately be $20k-$25k and a well maintained piano would be $12k-$18k.
</t>
  </si>
  <si>
    <t xml:space="preserve">FY2017-18 College Budget Development </t>
  </si>
  <si>
    <t>Capital Technology Total:</t>
  </si>
  <si>
    <t>Capital Non-Technology Total:</t>
  </si>
  <si>
    <t>Operational Fund Requests</t>
  </si>
  <si>
    <t>Academic Affairs</t>
  </si>
  <si>
    <t>Student Affairs</t>
  </si>
  <si>
    <t>Administrative Services</t>
  </si>
  <si>
    <t>College Work Study (CWS) Total:</t>
  </si>
  <si>
    <t>Division &amp; FBC</t>
  </si>
  <si>
    <t>President Approval</t>
  </si>
  <si>
    <t>Recom'ded</t>
  </si>
  <si>
    <t>Notes</t>
  </si>
  <si>
    <t>Approval</t>
  </si>
  <si>
    <t>Use Course Fee spend down for additional totoring</t>
  </si>
  <si>
    <t xml:space="preserve">$16,484 base budget transferred </t>
  </si>
  <si>
    <t>SP17901</t>
  </si>
  <si>
    <t>Dual Enrollment/Puma College Connection Coordinator Salary</t>
  </si>
  <si>
    <t>In order to ensure continued support of the Puma College coeection and Dual Enrollment programs at PCCC and to assist w/ Early Outreach Programs initiatives, we are requesting continued support for a sutdent services specialist, PSA 9. This positio was funded as an OYO position for 16-17, 15-16, 14-15, 13-14, 12-13, and 11-12 and through three temporary staff positions for 09-11. After six years as an OYO this position has proven critical for the coordinator of these early ourreach programs</t>
  </si>
  <si>
    <t>Funds appx 55 hours Librarian support</t>
  </si>
  <si>
    <t>$10,000 decrease</t>
  </si>
  <si>
    <t>Part-time Circulation/Acquisition support</t>
  </si>
  <si>
    <t>Assist with circulation and shelving</t>
  </si>
  <si>
    <t>$2,686 helps cover AA Divison reductions; $657 helps fund adj librarian for Black Mtn.</t>
  </si>
  <si>
    <t>$2,000 decrease to fund another priority - Adj Lib .at Black Mountain.</t>
  </si>
  <si>
    <t xml:space="preserve">$18,000 Base Budget Transferred </t>
  </si>
  <si>
    <t>$153 Base Budget Transferred  as Commitment and Obligations</t>
  </si>
  <si>
    <t>Tier II  - Additional Priorities Fundded Previously</t>
  </si>
  <si>
    <t>Benefit:  Continue e-subscriptions of databases which support content areas and student learning in all formats.
Consequence:  Non-renewals for resources which support key programs. (decrease $5000)</t>
  </si>
  <si>
    <t>SP1774A</t>
  </si>
  <si>
    <t>SP1722A</t>
  </si>
  <si>
    <t>Tier II  - Additional Priorities Fundded Previously  - or Use Course Fee spend down for additional totoring</t>
  </si>
  <si>
    <t>TOTAL:</t>
  </si>
  <si>
    <t>Academic Affairs Total:</t>
  </si>
  <si>
    <t>Tier III  - New Priorities</t>
  </si>
  <si>
    <t>SP1725B</t>
  </si>
  <si>
    <t>SP1722B</t>
  </si>
  <si>
    <t>SP1774B</t>
  </si>
  <si>
    <t>Tier II  - Additional Priorities Fundded Previously - $25K funded by OYO Operational Fund</t>
  </si>
  <si>
    <t>Tier II  - Additional Priorities Fundded Previously - $18K funded by OYO Operational  Fund</t>
  </si>
  <si>
    <t>Tier III  - New Priorities - $2,657 funded by OYO Operational Fund.</t>
  </si>
  <si>
    <t>SP1702A</t>
  </si>
  <si>
    <t>SP1702B</t>
  </si>
  <si>
    <t>Tier III  - New Priorities - $45K  funded by OYO . Use Course Fee spend down for additional totoring</t>
  </si>
  <si>
    <t>PROP 301</t>
  </si>
  <si>
    <t>Prop 301</t>
  </si>
  <si>
    <t xml:space="preserve"> SP9001</t>
  </si>
  <si>
    <t>Mosley/ DiGianfilippo</t>
  </si>
  <si>
    <t>Cover maintenance contracts on mannikans and software licences ($20K); cover nursing skills lab support ($10K)</t>
  </si>
  <si>
    <t>PROP 301 - TBD</t>
  </si>
  <si>
    <t>Funds are being requested to continue to hire a temp. PT advisor to assist the Dance Program Director with student advisement.  Dance students need advisement to obtain a 2-year associates degree and to transfer to a 4-year degree in Dance.  It is difficult for PVCC's one Dance Faculty/Program Director to advise in addition to her teaching her instructional load and serve as the director for a Fall and Spring Dance concert, and provide community outreach Dance activities which are often funded in part through grants which she both writes and manages.  It is also difficult for our general advisors to provide the one-on-one advisement which assists with student retention and completion.
Consequences of not funding this request are that individualized advisement in dance will not occur.</t>
  </si>
  <si>
    <t xml:space="preserve">Temporary funding for Black Mtn Security Aide. (Was funded FY17 - $15,000, increased to 16,000 to cover the full year))
Staffing for the site is necessary to maintain the site and its services. Currently FT Security covers morning hours, this position covers 4:00-10pm Mon - Thursday. 
Consequence:
 Without funding patrolling and security issues such as parking, accidents, medical, and locking up of the buildings would need to be handled by the Advisor or Site Coordinator. This position also ensured lock up of FCF community center since the college and FCF are physically in the same building. </t>
  </si>
  <si>
    <t>Temporary funding for Black Mtn receptionist (1) at 20 hours
 Staffing for the site is necessary to maintain the site and its services. Currently there is no staffing covering Aquila Hall. The Lab tech staff is behind closed doors and student have no staff in either the tutor or faculty receptionist areas. 
Consequence:
 Advisors are currently running back and forth between the two buildings. Since the only staffing is behind closed doors the building is left unsecure.</t>
  </si>
  <si>
    <t>PROP 301 Total:</t>
  </si>
  <si>
    <t>Tier III Total:</t>
  </si>
  <si>
    <t>Aquila Requests Total:</t>
  </si>
  <si>
    <t>Funded by Commitments and Obligations</t>
  </si>
  <si>
    <t>Assure continued funding of OYO (PSA grade 8) Human Resources Assistant  (Approved 3/4 Position)</t>
  </si>
  <si>
    <t>Approved 3/4 Position. Can be changed based on the need of District HR initiatives</t>
  </si>
  <si>
    <t>Administrative Services Total:</t>
  </si>
  <si>
    <t xml:space="preserve">Funded Permanent Positiion </t>
  </si>
  <si>
    <t xml:space="preserve">We are requesting four temporary employees to work the back office for A&amp;R.  These employees would assist students with admissions, registration, process payments for transcripts, enrollment verifications, transcript requests, enter incoming transcripts into External Education, enter transfer work into SIS, verify &amp; process documents for lawful presence and ID authentication submitted through eForms.
Answer office phones and phone registration.  They are responsible for processing SIF's submitted through the Apply Now Button for the Puma Pathway and through the Maricopa Application Day.  They will also assist staff with projects on an as needed basis.
Consequences of not funding this request will be phones will not be answered in a timely manner and we would need to limit the times when phone registration is available as there is not enough staffing for this.  Also, all of the back office work would also be delayed until staff are able to process.  During peak enrollment periods the back office work would be put on hold until staff are able to attend to these. MCCCD has a goal to evaluate all incoming transcripts so that students seeking FA will know if a maximum time frame appeal is required, this will also assist,  VA, Athletics &amp; Advising.
Another consequence would be limiting FT A/R employees time at the Welcome Counter, which would impact FTF service to the students. 
PVCC continues to have the smallest A&amp;R staff in the District, with only 4 employees, not funding this request would put a hardship on the office and to our students as well.
</t>
  </si>
  <si>
    <t>OYO Career Advisor (Grade) - 0.5 Office Coordinator</t>
  </si>
  <si>
    <t>Funded under Commitments and obligations</t>
  </si>
  <si>
    <t xml:space="preserve">We are requesting two OYO Student Services Specialists (Grade 9)  employees to work the A/R back office and Welcome Center.  These employees would assist students with admissions, registration, process payments for transcripts, enrollment verifications, transcript requests, enter incoming transcripts into External Education, enter transfer work into SIS, verify &amp; process documents for lawful presence and ID authentication submitted through eForms.
They will answer office phones and phone registration.  They will assist with departmental and area projects  as needed. They will also function as our Graduation Technicians and International Student experts. They will handle higher level A/R functions and concerns. They may help with temporary and student employee oversight. 
Consequences of not funding this request will be students will not be assisted in a timely manner and and services to students (such as degree posting) would get backlogged.  Also, all of the back office work would also be delayed until staff are able to process.  During peak enrollment periods the back office work would be put on hold until staff are able to attend to these. 
Another consequence would be limiting all FT A/R employees time at the Welcome Counter, which would impact FTF service to the students. 
PVCC continues to have the smallest A&amp;R staff in the District, with only 4 FT employees, not funding this request would put a hardship on the office and to our students as well.
</t>
  </si>
  <si>
    <t>Recommend Welcome Cnt OYO Coordinator</t>
  </si>
  <si>
    <t xml:space="preserve">Recommend OYO Student Srvs Specialist </t>
  </si>
  <si>
    <t>Student Affairs Total:</t>
  </si>
  <si>
    <t>Information Technology (IT)</t>
  </si>
  <si>
    <t>President Office</t>
  </si>
  <si>
    <t>Information Technology (IT) Total:</t>
  </si>
  <si>
    <t>Funded by General Institution budget</t>
  </si>
  <si>
    <t>College President Office</t>
  </si>
  <si>
    <t>College President Office Total:</t>
  </si>
  <si>
    <t>Tier II  - Additional Priorities Funded Previously</t>
  </si>
  <si>
    <t>Tier II  - Additional Priorities Funded Previously Total:</t>
  </si>
  <si>
    <t>Use Course Fee spend down</t>
  </si>
  <si>
    <t>363 replace: 33 in Q304, 33 in Q305, 23 in Qatrium, 25 in Q 152, 38 in E154, 36 in E102B, 59 staff, 4 instructor Stations in Classrooms, 42 in E136, 33 in LSC, 40 in E144; Occ Ed: E132, E150, E152, 18 in E154, 4 HS-Bldg; Deny K117, E148, E140, E146</t>
  </si>
  <si>
    <t xml:space="preserve">106 replace: 32 in Q1, 32 in Q4 (32 class size HP) M3 (32), and 10 staff replacements; 7 Deny : Math Center, 8 HS Laptops moved to Occ Ed Tech. </t>
  </si>
  <si>
    <t>Funding available to support emerging technologies to enhance teaching and learning as needed. Requests will be brought to TCT for discussion before being funded.</t>
  </si>
  <si>
    <t>Received quote for 40 projectors, $92K including tax. Buy 10, get one free. Need 42 + 2 additional spares. Areas inlcude: LS: 9, J-bldg: 6, Library: 2, Q bldg: 22, Spare: 2, EEC: 1.</t>
  </si>
  <si>
    <t xml:space="preserve">TCT has created an emergency request for out of budget cyccles tech. emergencies. </t>
  </si>
  <si>
    <t xml:space="preserve">	Replace obsolete computers in E132 (28) and corresponding open lab computers (10) (purchase date 7/2010 [occ], solid-state drives added Fall 2016) Really need them, computers old.</t>
  </si>
  <si>
    <t xml:space="preserve">	Replace obsolete computers (Okay with new solid state drives) in E136 (33) and corresponding open lab computers (9) (purchase date 7/2012 [occ]). </t>
  </si>
  <si>
    <t>The entire fleet of Ipads in the IT helpdesk checkout program are now obsolesced, The old Ipads will not accept software updates, and are very slow., these devices are used in several program disciplines, and have been intergrated into a unique student checkout model for certain class sections.</t>
  </si>
  <si>
    <t>Reference SP1820</t>
  </si>
  <si>
    <t xml:space="preserve">The 2 Dell OptiPlex 780 computers on Table J were purchased in November 2010 and 1 Dell OptiPlex 990 purchased in July 2011 meet the criteria for obsolescence replacement.
If this request is not approved, students will not have access to reliable computers in the open lab. </t>
  </si>
  <si>
    <t>SP9802</t>
  </si>
  <si>
    <t>Data Center Battery Back up/ HVAC Cooling Unit(s)</t>
  </si>
  <si>
    <t>20 year old battery backup and colling system (HVAC) for network is not holding up anymore. This wnet out a few weeks sometime ago and it out of warrenty cyccle and past its obsolescence period. If not funded, we have potentially high temperatures in server toom to cause servers to dow down, etc. Thsi is imperative to have a safe, reliable nextwork.</t>
  </si>
  <si>
    <t>Reference other Ipad and Cart requests.</t>
  </si>
  <si>
    <t>Fitness Center Capital Equipment - 3 Elipticals</t>
  </si>
  <si>
    <t>The actual piano is $16,888, but we will need delivery and set-up so the final cost may be up to the $18,000 we had listed as the high range.</t>
  </si>
  <si>
    <t>Occu pational Mergency Requests</t>
  </si>
  <si>
    <t>Half lab</t>
  </si>
  <si>
    <t>1 Lab + Open</t>
  </si>
  <si>
    <t>8 HS Laptops moved to Occ Ed Tech.  Others repference IT Capital Fund</t>
  </si>
  <si>
    <t xml:space="preserve"> 4 instructor Stations in Classrooms,   Others references to IT Capital Fund</t>
  </si>
  <si>
    <t>Capital Occupational Total:</t>
  </si>
  <si>
    <t xml:space="preserve">Capital Occupational </t>
  </si>
  <si>
    <t>OPERATIONAL FUND</t>
  </si>
  <si>
    <t>OPERATIONAL FUND TOTAL:</t>
  </si>
  <si>
    <t>CAPITAL FUND</t>
  </si>
  <si>
    <t>CAPITAL FUND TOTAL:</t>
  </si>
  <si>
    <t>Note: The Total Capital Fund Does not include $60K allocation for Library and $50K for Campus Facility Project in FY18.</t>
  </si>
  <si>
    <t>PROP 301 GRANT</t>
  </si>
  <si>
    <t>OPERATIONAL FUND - $250K PUMA PATH PROJECT</t>
  </si>
  <si>
    <t>Tier II  - Additional Priorities Fundded Previously (May approved by District Initiative Budget)</t>
  </si>
  <si>
    <t>FUND 280</t>
  </si>
  <si>
    <t xml:space="preserve">Note: Three-year plan for Aquila Hall with $40,000 operational budget  and College Security with $50,000 temporary staff budget each year. </t>
  </si>
  <si>
    <t>PARADISE VALLEY COMMUNITY COLLEGE</t>
  </si>
  <si>
    <t>PVCC Budget - Planning for FY2015-16</t>
  </si>
  <si>
    <t>As of Feb 30, 2015</t>
  </si>
  <si>
    <t xml:space="preserve">Enrollment </t>
  </si>
  <si>
    <t>FY2014-15 **</t>
  </si>
  <si>
    <t xml:space="preserve">FY2013-14 </t>
  </si>
  <si>
    <t>FY2012-13</t>
  </si>
  <si>
    <t>FY2011-12</t>
  </si>
  <si>
    <t>FY2010-11</t>
  </si>
  <si>
    <t>FY2009-10</t>
  </si>
  <si>
    <t>Total</t>
  </si>
  <si>
    <t>FTSE (+/-)</t>
  </si>
  <si>
    <t>Enrollment Percentage  (+/-)</t>
  </si>
  <si>
    <t>Audited FTSE</t>
  </si>
  <si>
    <t>Enrollment Fund (+/-)</t>
  </si>
  <si>
    <t>Base Budget Cut by District</t>
  </si>
  <si>
    <t>Total Fund (+/-)</t>
  </si>
  <si>
    <t>Note: **  FY14-15 is an estimate and FY2014-15 will be hold harmless for enrollment decline.</t>
  </si>
  <si>
    <t>Funds</t>
  </si>
  <si>
    <t>Fund 1 - General Operational</t>
  </si>
  <si>
    <t>FY2014-15</t>
  </si>
  <si>
    <t xml:space="preserve">Original Budget </t>
  </si>
  <si>
    <t xml:space="preserve">Operational Budget </t>
  </si>
  <si>
    <t>Actual Expenses &amp; Commitments</t>
  </si>
  <si>
    <t>Transferred to fund 7</t>
  </si>
  <si>
    <t>Actual Fund Balance</t>
  </si>
  <si>
    <t xml:space="preserve">Fund 230 - Auxiliary Revenue </t>
  </si>
  <si>
    <t>Beginning Budget</t>
  </si>
  <si>
    <t>Actual Revenue</t>
  </si>
  <si>
    <t>Actual Expenses</t>
  </si>
  <si>
    <t>Fund 250 - Course Fees</t>
  </si>
  <si>
    <t>Fund 280 - Non-Credit Course Fees</t>
  </si>
  <si>
    <t>Fund 3 - Carl Perkins &amp; Prop 301</t>
  </si>
  <si>
    <t>Fund 710 - College Capital</t>
  </si>
  <si>
    <t>Transfer from Operational Fund 1</t>
  </si>
  <si>
    <t xml:space="preserve">Fund 730 - 2004 GO Bond Obligation  </t>
  </si>
  <si>
    <t>Fund 910 &amp; 920 - Clubs and Organizations</t>
  </si>
  <si>
    <t>Current Year and Future Budget Plans</t>
  </si>
  <si>
    <t>FY2017-18 OYO Operational Fund</t>
  </si>
  <si>
    <t>As of March 6, 2017</t>
  </si>
  <si>
    <t>FY 12 OYO Allocation</t>
  </si>
  <si>
    <t>FY 12 OYO Percentage Allocation</t>
  </si>
  <si>
    <t>FY14 OYO Funding</t>
  </si>
  <si>
    <t>FY 15 OYO Funding</t>
  </si>
  <si>
    <t>%</t>
  </si>
  <si>
    <t>FY 16 OYO Final Funding</t>
  </si>
  <si>
    <t>FY 17 OYO Final Funding</t>
  </si>
  <si>
    <t>10% Reduced from FY17</t>
  </si>
  <si>
    <t>FY 18 OYO Final Funding</t>
  </si>
  <si>
    <t>College Administration</t>
  </si>
  <si>
    <t>Student Affairs ***</t>
  </si>
  <si>
    <t>Technology</t>
  </si>
  <si>
    <t>Reduced 1%</t>
  </si>
  <si>
    <t>Reduce 6.3%</t>
  </si>
  <si>
    <t xml:space="preserve">Notes: </t>
  </si>
  <si>
    <t xml:space="preserve">                 ** FY2017-18  OYO funding reduced 10%,  due to $513,330  (-4.94%)  cut from FY16  enrollment decline.</t>
  </si>
  <si>
    <t xml:space="preserve">                 *** Student Affairs exchanged $51,408 for permanent budget for the Testing Technician which received OYO funding in the prior years</t>
  </si>
  <si>
    <t>FY2018 Operational Fund Assumption</t>
  </si>
  <si>
    <t>FY17-18 OYO Commitments and Obligations Assumption</t>
  </si>
  <si>
    <t>FY2018 Estimated Expenses</t>
  </si>
  <si>
    <t xml:space="preserve">FY16-17              Recommended </t>
  </si>
  <si>
    <t xml:space="preserve">FY17-18              Recommended </t>
  </si>
  <si>
    <t>Funding Sources</t>
  </si>
  <si>
    <t>Operational Purpose Funding</t>
  </si>
  <si>
    <t>- Nursing Accreditation Visit</t>
  </si>
  <si>
    <t>OYO</t>
  </si>
  <si>
    <t>OYO Commitments &amp; Obligations</t>
  </si>
  <si>
    <t>from **</t>
  </si>
  <si>
    <t>Subtotal:</t>
  </si>
  <si>
    <t>(A)</t>
  </si>
  <si>
    <t>- "I Will Graduate"</t>
  </si>
  <si>
    <t>- Accuplacer, CELSA &amp; Perceptous License</t>
  </si>
  <si>
    <t xml:space="preserve">FY2018 Funding Sources </t>
  </si>
  <si>
    <t>Carry-Forward from FY17</t>
  </si>
  <si>
    <t>- Grant Management/Compliance</t>
  </si>
  <si>
    <t xml:space="preserve">Part-time Base Budget </t>
  </si>
  <si>
    <t xml:space="preserve">Contingency Base Budget </t>
  </si>
  <si>
    <t>Info. Technology</t>
  </si>
  <si>
    <t>(B)</t>
  </si>
  <si>
    <t>- Network switch, CCTV and S2 maintenance</t>
  </si>
  <si>
    <t>- Software Warranties (Microsoft Office)</t>
  </si>
  <si>
    <t>FUND BALANCE in SURPLUS:</t>
  </si>
  <si>
    <t>(A) + (B)</t>
  </si>
  <si>
    <t>FY2018 Other Funding Sources</t>
  </si>
  <si>
    <t>- HLC</t>
  </si>
  <si>
    <t>- Part-Time Wages</t>
  </si>
  <si>
    <t xml:space="preserve">- 30-Year Celebration </t>
  </si>
  <si>
    <t>Prop 301 and other grants</t>
  </si>
  <si>
    <t xml:space="preserve">Institutional </t>
  </si>
  <si>
    <t>- Enrollment Decline</t>
  </si>
  <si>
    <t>Base</t>
  </si>
  <si>
    <t xml:space="preserve">Notes: Assumption will be adjusted according to the actuals </t>
  </si>
  <si>
    <t>****</t>
  </si>
  <si>
    <t>FY2017-18 Budget Recommendations for Enrollment Decline</t>
  </si>
  <si>
    <t>TOTAL BASE:</t>
  </si>
  <si>
    <t>-4% with 185.68 FTSE's</t>
  </si>
  <si>
    <t>TOTAL OYO</t>
  </si>
  <si>
    <t xml:space="preserve"> Fund 280 transferred  </t>
  </si>
  <si>
    <t xml:space="preserve"> P/T Wages (51310)</t>
  </si>
  <si>
    <t xml:space="preserve"> P/T Evening   (51122)</t>
  </si>
  <si>
    <t xml:space="preserve"> Copy Services  (53220)</t>
  </si>
  <si>
    <t xml:space="preserve">Telephone $20K &amp; Salary P/P $32,298 </t>
  </si>
  <si>
    <t>PVCC Budget Development Requests and Approvals  Summary</t>
  </si>
  <si>
    <t>Requested Total</t>
  </si>
  <si>
    <t>Divisions/ Committees Recommended</t>
  </si>
  <si>
    <t>FBC Recommended</t>
  </si>
  <si>
    <t>College President's Approvals</t>
  </si>
  <si>
    <t>Coll. President Office</t>
  </si>
  <si>
    <t>Capital Fund Requests</t>
  </si>
  <si>
    <t xml:space="preserve">Requested Total </t>
  </si>
  <si>
    <t xml:space="preserve">Divisions Recommended </t>
  </si>
  <si>
    <t xml:space="preserve">FBC Recommended </t>
  </si>
  <si>
    <t>College President</t>
  </si>
  <si>
    <t>Capital Non Technology</t>
  </si>
  <si>
    <t>PROP 301 Grant</t>
  </si>
  <si>
    <t>Fund 280</t>
  </si>
  <si>
    <t>- College Safety</t>
  </si>
  <si>
    <t>Puma Path Project</t>
  </si>
  <si>
    <t>Tier II</t>
  </si>
  <si>
    <t>Tier III</t>
  </si>
  <si>
    <t>Fiscal Year 2017-2018</t>
  </si>
  <si>
    <t>As of March 30, 2017</t>
  </si>
  <si>
    <t xml:space="preserve">           Additional $60,000 recommended from Capital Fund for Library Collection and Media Resources.</t>
  </si>
  <si>
    <t>- Aquila Hall Operation</t>
  </si>
  <si>
    <t>Using about $15K from Fund 230 for this purchasing vehicle.</t>
  </si>
  <si>
    <t xml:space="preserve">  </t>
  </si>
  <si>
    <t>FY17-18 OYO Commitments and Obligations</t>
  </si>
  <si>
    <t>SP9002</t>
  </si>
  <si>
    <t xml:space="preserve">Additional allocation for programs </t>
  </si>
  <si>
    <t>PROP 301 Programs</t>
  </si>
  <si>
    <t>Fund 280 (Meet &amp; confer Year 1)</t>
  </si>
  <si>
    <t>Fund 230 (Carry-Forward 210)</t>
  </si>
  <si>
    <t>Fund 230 (Special Project)</t>
  </si>
  <si>
    <t>Fund 280 (Meet &amp; Confer transfers )</t>
  </si>
  <si>
    <t>Notes: CWS requests will be determined by the Director of Financial Aid Office.</t>
  </si>
  <si>
    <t xml:space="preserve">Financial Aid Director </t>
  </si>
  <si>
    <t>Need four (3) work study students for office support, tour guides and as call center staff(phone campaigns)
   --Maintain prospective student data  
   --Gather and put together recruitment materials to be used for recruitment events and presentations
   --Send out requested materials to prospective students
   --Answer phones, take messages, schedule appointments
   --Greet/meet and support students when recruiters have appointments, meetings, or presentations
   --Assist with recruitment events
   --Coordinate and provide campus tours
   --Assist with calling campaigns when necessary
JUSTIFICATION
Federal Work study students provide integral office support (see above) and are great ambassadors for the college.  
CONSEQUENCES FOR NOT FUNDING 
Without federal work study office support, the current level of services (see above) will be unable to be maintained.</t>
  </si>
  <si>
    <t>Notes: Additional $50,000 for Furniture and Facility Remodel Requests will be reviewed separately with different process.</t>
  </si>
  <si>
    <t>The request is to replace old TV's and the mounts that are in F110 (Fitness Center workout classroom).  The TV's are over 15 years old and are not consistently operating properly (including closed caption).  TV technology has changed and these are so old that we are getting complaints from our members.  The boxes that allow the members to listen are so old that most do not work and cannot be fixed (the company has gone out of business.
The price includes the following:  Mounts, 43 windescreeen HDTV, install labor, and all parts.</t>
  </si>
  <si>
    <t>Aquila Requests</t>
  </si>
  <si>
    <t>Using Fund  280 account</t>
  </si>
  <si>
    <t>PVMAINCA-280-801535-ACA_SPPT</t>
  </si>
  <si>
    <t>Prop 301 Account</t>
  </si>
  <si>
    <t>PVMAINCA-710-DeptID-INSTUCTION</t>
  </si>
  <si>
    <t>PVMAINCA-110-802570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</si>
</sst>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0.000%"/>
    <numFmt numFmtId="169" formatCode="_(&quot;$&quot;* #,##0_);_(&quot;$&quot;* \(#,##0\);_(&quot;$&quot;* &quot;-&quot;?_);_(@_)"/>
    <numFmt numFmtId="170" formatCode="#,##0;\-#,##0;&quot;-&quot;"/>
    <numFmt numFmtId="171" formatCode="#,##0.00;\-#,##0.00;&quot;-&quot;"/>
    <numFmt numFmtId="172" formatCode="#,##0%;\-#,##0%;&quot;- &quot;"/>
    <numFmt numFmtId="173" formatCode="#,##0.0%;\-#,##0.0%;&quot;- &quot;"/>
    <numFmt numFmtId="174" formatCode="#,##0.00%;\-#,##0.00%;&quot;- &quot;"/>
    <numFmt numFmtId="175" formatCode="#,##0.0;\-#,##0.0;&quot;-&quot;"/>
    <numFmt numFmtId="176" formatCode="_([$€-2]* #,##0.00_);_([$€-2]* \(#,##0.00\);_([$€-2]* &quot;-&quot;??_)"/>
    <numFmt numFmtId="177" formatCode="0%;\(0%\)"/>
    <numFmt numFmtId="178" formatCode="\ \ @"/>
    <numFmt numFmtId="179" formatCode="\ \ \ \ @"/>
  </numFmts>
  <fonts count="5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b/>
      <sz val="11"/>
      <name val="Calibri"/>
      <family val="2"/>
      <scheme val="minor"/>
    </font>
    <font>
      <sz val="11"/>
      <name val="Calibri"/>
      <family val="2"/>
      <scheme val="minor"/>
    </font>
    <font>
      <b/>
      <sz val="14"/>
      <color theme="1"/>
      <name val="Calibri"/>
      <family val="2"/>
      <scheme val="minor"/>
    </font>
    <font>
      <b/>
      <sz val="16"/>
      <color theme="1"/>
      <name val="Calibri"/>
      <family val="2"/>
      <scheme val="minor"/>
    </font>
    <font>
      <b/>
      <i/>
      <sz val="22"/>
      <color theme="1"/>
      <name val="Calibri"/>
      <family val="2"/>
      <scheme val="minor"/>
    </font>
    <font>
      <b/>
      <i/>
      <sz val="11"/>
      <color theme="1"/>
      <name val="Calibri"/>
      <family val="2"/>
      <scheme val="minor"/>
    </font>
    <font>
      <i/>
      <sz val="11"/>
      <color theme="1"/>
      <name val="Calibri"/>
      <family val="2"/>
      <scheme val="minor"/>
    </font>
    <font>
      <sz val="14"/>
      <color theme="1"/>
      <name val="Calibri"/>
      <family val="2"/>
      <scheme val="minor"/>
    </font>
    <font>
      <sz val="10"/>
      <name val="Verdana"/>
      <family val="2"/>
    </font>
    <font>
      <b/>
      <sz val="11"/>
      <name val="Cambria"/>
      <family val="1"/>
      <scheme val="major"/>
    </font>
    <font>
      <sz val="10"/>
      <name val="Myriad Pro"/>
      <family val="2"/>
    </font>
    <font>
      <sz val="10"/>
      <color indexed="10"/>
      <name val="Myriad Pro"/>
      <family val="2"/>
    </font>
    <font>
      <b/>
      <sz val="10"/>
      <name val="Myriad Pro"/>
      <family val="2"/>
    </font>
    <font>
      <b/>
      <sz val="11"/>
      <name val="Myriad Pro"/>
      <family val="2"/>
    </font>
    <font>
      <sz val="11"/>
      <name val="Myriad Pro"/>
      <family val="2"/>
    </font>
    <font>
      <sz val="10"/>
      <color indexed="55"/>
      <name val="Myriad Pro"/>
      <family val="2"/>
    </font>
    <font>
      <sz val="10"/>
      <name val="Arial"/>
      <family val="2"/>
    </font>
    <font>
      <u/>
      <sz val="10"/>
      <name val="Myriad Pro"/>
      <family val="2"/>
    </font>
    <font>
      <i/>
      <sz val="10"/>
      <name val="Myriad Pro"/>
      <family val="2"/>
    </font>
    <font>
      <sz val="10"/>
      <color theme="1"/>
      <name val="Calibri"/>
      <family val="2"/>
      <scheme val="minor"/>
    </font>
    <font>
      <b/>
      <i/>
      <sz val="12"/>
      <color theme="1"/>
      <name val="Calibri"/>
      <family val="2"/>
      <scheme val="minor"/>
    </font>
    <font>
      <b/>
      <i/>
      <sz val="10"/>
      <color theme="1"/>
      <name val="Calibri"/>
      <family val="2"/>
      <scheme val="minor"/>
    </font>
    <font>
      <sz val="10"/>
      <color indexed="8"/>
      <name val="Arial"/>
      <family val="2"/>
    </font>
    <font>
      <b/>
      <sz val="10"/>
      <name val="Arial Unicode MS"/>
      <family val="2"/>
    </font>
    <font>
      <sz val="10"/>
      <color indexed="8"/>
      <name val="MS Sans Serif"/>
      <family val="2"/>
    </font>
    <font>
      <sz val="11"/>
      <color indexed="8"/>
      <name val="Calibri"/>
      <family val="2"/>
    </font>
    <font>
      <sz val="10"/>
      <color indexed="12"/>
      <name val="Arial"/>
      <family val="2"/>
    </font>
    <font>
      <sz val="12"/>
      <color rgb="FF006100"/>
      <name val="Calibri"/>
      <family val="2"/>
      <scheme val="minor"/>
    </font>
    <font>
      <b/>
      <sz val="12"/>
      <name val="Arial"/>
      <family val="2"/>
    </font>
    <font>
      <sz val="10"/>
      <color indexed="14"/>
      <name val="Arial"/>
      <family val="2"/>
    </font>
    <font>
      <sz val="12"/>
      <color rgb="FF9C6500"/>
      <name val="Calibri"/>
      <family val="2"/>
      <scheme val="minor"/>
    </font>
    <font>
      <sz val="10"/>
      <name val="Arial Unicode MS"/>
      <family val="2"/>
    </font>
    <font>
      <sz val="10"/>
      <color indexed="10"/>
      <name val="Arial"/>
      <family val="2"/>
    </font>
    <font>
      <sz val="10"/>
      <name val="MS Sans Serif"/>
      <family val="2"/>
    </font>
    <font>
      <b/>
      <sz val="10"/>
      <name val="MS Sans Serif"/>
      <family val="2"/>
    </font>
    <font>
      <sz val="8"/>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mediumGray">
        <fgColor indexed="22"/>
      </patternFill>
    </fill>
    <fill>
      <patternFill patternType="solid">
        <fgColor rgb="FFFF0000"/>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medium">
        <color auto="1"/>
      </bottom>
      <diagonal/>
    </border>
    <border>
      <left style="thin">
        <color rgb="FFB2B2B2"/>
      </left>
      <right style="thin">
        <color rgb="FFB2B2B2"/>
      </right>
      <top style="thin">
        <color auto="1"/>
      </top>
      <bottom style="medium">
        <color auto="1"/>
      </bottom>
      <diagonal/>
    </border>
    <border>
      <left/>
      <right/>
      <top style="medium">
        <color auto="1"/>
      </top>
      <bottom/>
      <diagonal/>
    </border>
    <border>
      <left style="thin">
        <color auto="1"/>
      </left>
      <right/>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right style="thin">
        <color auto="1"/>
      </right>
      <top/>
      <bottom/>
      <diagonal/>
    </border>
    <border>
      <left style="medium">
        <color auto="1"/>
      </left>
      <right style="medium">
        <color auto="1"/>
      </right>
      <top/>
      <bottom/>
      <diagonal/>
    </border>
    <border>
      <left style="medium">
        <color auto="1"/>
      </left>
      <right/>
      <top/>
      <bottom style="medium">
        <color auto="1"/>
      </bottom>
      <diagonal/>
    </border>
    <border>
      <left/>
      <right/>
      <top style="medium">
        <color theme="4"/>
      </top>
      <bottom style="medium">
        <color auto="1"/>
      </bottom>
      <diagonal/>
    </border>
    <border>
      <left/>
      <right style="thin">
        <color auto="1"/>
      </right>
      <top style="medium">
        <color theme="4"/>
      </top>
      <bottom style="medium">
        <color auto="1"/>
      </bottom>
      <diagonal/>
    </border>
    <border>
      <left style="thin">
        <color auto="1"/>
      </left>
      <right style="thin">
        <color auto="1"/>
      </right>
      <top style="medium">
        <color theme="4"/>
      </top>
      <bottom style="medium">
        <color auto="1"/>
      </bottom>
      <diagonal/>
    </border>
    <border>
      <left style="medium">
        <color auto="1"/>
      </left>
      <right style="medium">
        <color auto="1"/>
      </right>
      <top style="medium">
        <color theme="4"/>
      </top>
      <bottom style="medium">
        <color auto="1"/>
      </bottom>
      <diagonal/>
    </border>
    <border>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thin">
        <color auto="1"/>
      </right>
      <top/>
      <bottom style="thin">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s>
  <cellStyleXfs count="398">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9" fillId="0" borderId="0"/>
    <xf numFmtId="164" fontId="29" fillId="0" borderId="0" applyFont="0" applyFill="0" applyBorder="0" applyAlignment="0" applyProtection="0"/>
    <xf numFmtId="9" fontId="29" fillId="0" borderId="0" applyFont="0" applyFill="0" applyBorder="0" applyAlignment="0" applyProtection="0"/>
    <xf numFmtId="9" fontId="37" fillId="0" borderId="0" applyFont="0" applyFill="0" applyBorder="0" applyAlignment="0" applyProtection="0"/>
    <xf numFmtId="170" fontId="43" fillId="0" borderId="0" applyFill="0" applyBorder="0" applyAlignment="0"/>
    <xf numFmtId="171" fontId="43" fillId="0" borderId="0" applyFill="0" applyBorder="0" applyAlignment="0"/>
    <xf numFmtId="172" fontId="43" fillId="0" borderId="0" applyFill="0" applyBorder="0" applyAlignment="0"/>
    <xf numFmtId="173" fontId="43" fillId="0" borderId="0" applyFill="0" applyBorder="0" applyAlignment="0"/>
    <xf numFmtId="174" fontId="43" fillId="0" borderId="0" applyFill="0" applyBorder="0" applyAlignment="0"/>
    <xf numFmtId="170" fontId="43" fillId="0" borderId="0" applyFill="0" applyBorder="0" applyAlignment="0"/>
    <xf numFmtId="175" fontId="43" fillId="0" borderId="0" applyFill="0" applyBorder="0" applyAlignment="0"/>
    <xf numFmtId="171" fontId="43" fillId="0" borderId="0" applyFill="0" applyBorder="0" applyAlignment="0"/>
    <xf numFmtId="170"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29"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4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5" fillId="0" borderId="0" applyFont="0" applyFill="0" applyBorder="0" applyAlignment="0" applyProtection="0"/>
    <xf numFmtId="165" fontId="1"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1" fontId="37" fillId="0" borderId="0" applyFont="0" applyFill="0" applyBorder="0" applyAlignment="0" applyProtection="0"/>
    <xf numFmtId="164" fontId="4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1" fillId="0" borderId="0" applyFont="0" applyFill="0" applyBorder="0" applyAlignment="0" applyProtection="0"/>
    <xf numFmtId="164" fontId="37" fillId="0" borderId="0" applyFont="0" applyFill="0" applyBorder="0" applyAlignment="0" applyProtection="0"/>
    <xf numFmtId="164" fontId="45"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4" fontId="4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4" fontId="43" fillId="0" borderId="0" applyFill="0" applyBorder="0" applyAlignment="0"/>
    <xf numFmtId="170" fontId="47" fillId="0" borderId="0" applyFill="0" applyBorder="0" applyAlignment="0"/>
    <xf numFmtId="171" fontId="47" fillId="0" borderId="0" applyFill="0" applyBorder="0" applyAlignment="0"/>
    <xf numFmtId="170" fontId="47" fillId="0" borderId="0" applyFill="0" applyBorder="0" applyAlignment="0"/>
    <xf numFmtId="175" fontId="47" fillId="0" borderId="0" applyFill="0" applyBorder="0" applyAlignment="0"/>
    <xf numFmtId="171" fontId="47" fillId="0" borderId="0" applyFill="0" applyBorder="0" applyAlignment="0"/>
    <xf numFmtId="176" fontId="45" fillId="0" borderId="0" applyFont="0" applyFill="0" applyBorder="0" applyAlignment="0" applyProtection="0"/>
    <xf numFmtId="176" fontId="45" fillId="0" borderId="0" applyFont="0" applyFill="0" applyBorder="0" applyAlignment="0" applyProtection="0"/>
    <xf numFmtId="0" fontId="48" fillId="2" borderId="0" applyNumberFormat="0" applyBorder="0" applyAlignment="0" applyProtection="0"/>
    <xf numFmtId="0" fontId="49" fillId="0" borderId="16" applyNumberFormat="0" applyAlignment="0" applyProtection="0">
      <alignment horizontal="left" vertical="center"/>
    </xf>
    <xf numFmtId="0" fontId="49" fillId="0" borderId="12">
      <alignment horizontal="left" vertical="center"/>
    </xf>
    <xf numFmtId="170" fontId="50" fillId="0" borderId="0" applyFill="0" applyBorder="0" applyAlignment="0"/>
    <xf numFmtId="171" fontId="50" fillId="0" borderId="0" applyFill="0" applyBorder="0" applyAlignment="0"/>
    <xf numFmtId="170" fontId="50" fillId="0" borderId="0" applyFill="0" applyBorder="0" applyAlignment="0"/>
    <xf numFmtId="175" fontId="50" fillId="0" borderId="0" applyFill="0" applyBorder="0" applyAlignment="0"/>
    <xf numFmtId="171" fontId="50" fillId="0" borderId="0" applyFill="0" applyBorder="0" applyAlignment="0"/>
    <xf numFmtId="0" fontId="51" fillId="4"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6" fillId="0" borderId="0"/>
    <xf numFmtId="0" fontId="45" fillId="0" borderId="0"/>
    <xf numFmtId="0" fontId="1" fillId="0" borderId="0"/>
    <xf numFmtId="0" fontId="1" fillId="0" borderId="0"/>
    <xf numFmtId="0" fontId="1" fillId="0" borderId="0"/>
    <xf numFmtId="0" fontId="52" fillId="0" borderId="0"/>
    <xf numFmtId="0" fontId="1" fillId="0" borderId="0"/>
    <xf numFmtId="0" fontId="45" fillId="0" borderId="0"/>
    <xf numFmtId="0" fontId="1" fillId="0" borderId="0"/>
    <xf numFmtId="0" fontId="1" fillId="0" borderId="0"/>
    <xf numFmtId="0" fontId="37" fillId="0" borderId="0"/>
    <xf numFmtId="0" fontId="20" fillId="0" borderId="0"/>
    <xf numFmtId="0" fontId="37" fillId="0" borderId="0"/>
    <xf numFmtId="0" fontId="52" fillId="0" borderId="0"/>
    <xf numFmtId="0" fontId="52" fillId="0" borderId="0"/>
    <xf numFmtId="0" fontId="45"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7" fillId="8" borderId="8" applyNumberFormat="0" applyFont="0" applyAlignment="0" applyProtection="0"/>
    <xf numFmtId="174" fontId="37" fillId="0" borderId="0" applyFont="0" applyFill="0" applyBorder="0" applyAlignment="0" applyProtection="0"/>
    <xf numFmtId="177"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170" fontId="53" fillId="0" borderId="0" applyFill="0" applyBorder="0" applyAlignment="0"/>
    <xf numFmtId="171" fontId="53" fillId="0" borderId="0" applyFill="0" applyBorder="0" applyAlignment="0"/>
    <xf numFmtId="170" fontId="53" fillId="0" borderId="0" applyFill="0" applyBorder="0" applyAlignment="0"/>
    <xf numFmtId="175" fontId="53" fillId="0" borderId="0" applyFill="0" applyBorder="0" applyAlignment="0"/>
    <xf numFmtId="171" fontId="53" fillId="0" borderId="0" applyFill="0" applyBorder="0" applyAlignment="0"/>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55" fillId="0" borderId="22">
      <alignment horizontal="center"/>
    </xf>
    <xf numFmtId="3" fontId="54" fillId="0" borderId="0" applyFont="0" applyFill="0" applyBorder="0" applyAlignment="0" applyProtection="0"/>
    <xf numFmtId="0" fontId="54" fillId="46" borderId="0" applyNumberFormat="0" applyFont="0" applyBorder="0" applyAlignment="0" applyProtection="0"/>
    <xf numFmtId="49" fontId="43" fillId="0" borderId="0" applyFill="0" applyBorder="0" applyAlignment="0"/>
    <xf numFmtId="178" fontId="43" fillId="0" borderId="0" applyFill="0" applyBorder="0" applyAlignment="0"/>
    <xf numFmtId="179" fontId="43" fillId="0" borderId="0" applyFill="0" applyBorder="0" applyAlignment="0"/>
  </cellStyleXfs>
  <cellXfs count="421">
    <xf numFmtId="0" fontId="0" fillId="0" borderId="0" xfId="0"/>
    <xf numFmtId="0" fontId="0" fillId="0" borderId="0" xfId="0" applyAlignment="1">
      <alignment wrapText="1"/>
    </xf>
    <xf numFmtId="0" fontId="0" fillId="0" borderId="0" xfId="0"/>
    <xf numFmtId="0" fontId="0" fillId="0" borderId="0" xfId="0" applyAlignment="1">
      <alignment horizontal="center" wrapText="1"/>
    </xf>
    <xf numFmtId="0" fontId="0" fillId="0" borderId="0" xfId="0"/>
    <xf numFmtId="0" fontId="16"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Border="1" applyAlignment="1">
      <alignment horizontal="center" vertical="center" textRotation="90"/>
    </xf>
    <xf numFmtId="0" fontId="16" fillId="0" borderId="10" xfId="0" applyFont="1" applyBorder="1" applyAlignment="1">
      <alignment horizontal="center" vertical="center" textRotation="90" wrapText="1"/>
    </xf>
    <xf numFmtId="166" fontId="16" fillId="0" borderId="10" xfId="1" applyNumberFormat="1" applyFont="1" applyBorder="1" applyAlignment="1">
      <alignment horizontal="center" vertical="center" wrapText="1"/>
    </xf>
    <xf numFmtId="0" fontId="0" fillId="0" borderId="10" xfId="0" applyBorder="1" applyAlignment="1">
      <alignment vertical="top"/>
    </xf>
    <xf numFmtId="0" fontId="0" fillId="0" borderId="10" xfId="0" applyBorder="1" applyAlignment="1">
      <alignment vertical="top" wrapText="1"/>
    </xf>
    <xf numFmtId="0" fontId="0" fillId="0" borderId="10" xfId="0" applyBorder="1" applyAlignment="1">
      <alignment horizontal="center" vertical="top" wrapText="1"/>
    </xf>
    <xf numFmtId="166" fontId="0" fillId="0" borderId="10" xfId="1" applyNumberFormat="1" applyFont="1" applyBorder="1" applyAlignment="1">
      <alignment vertical="top" wrapText="1"/>
    </xf>
    <xf numFmtId="166" fontId="16" fillId="0" borderId="10" xfId="1" applyNumberFormat="1" applyFont="1" applyBorder="1" applyAlignment="1">
      <alignment vertical="center" wrapText="1"/>
    </xf>
    <xf numFmtId="0" fontId="0" fillId="0" borderId="10" xfId="0" applyBorder="1" applyAlignment="1">
      <alignment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166" fontId="16" fillId="0" borderId="0" xfId="1" applyNumberFormat="1" applyFont="1" applyAlignment="1">
      <alignment horizontal="left" vertical="center"/>
    </xf>
    <xf numFmtId="0" fontId="0" fillId="0" borderId="12" xfId="0" applyBorder="1" applyAlignment="1">
      <alignment vertical="center"/>
    </xf>
    <xf numFmtId="166" fontId="16" fillId="0" borderId="24" xfId="1" applyNumberFormat="1" applyFont="1" applyBorder="1" applyAlignment="1">
      <alignment vertical="center" wrapText="1"/>
    </xf>
    <xf numFmtId="0" fontId="0" fillId="0" borderId="13" xfId="0" applyBorder="1" applyAlignment="1">
      <alignment vertical="top" wrapText="1"/>
    </xf>
    <xf numFmtId="166" fontId="0" fillId="0" borderId="24" xfId="1" applyNumberFormat="1" applyFont="1" applyBorder="1" applyAlignment="1">
      <alignment vertical="top" wrapText="1"/>
    </xf>
    <xf numFmtId="0" fontId="0" fillId="0" borderId="12" xfId="0" applyBorder="1" applyAlignment="1">
      <alignment horizontal="center" vertical="top" wrapText="1"/>
    </xf>
    <xf numFmtId="166" fontId="0" fillId="0" borderId="23" xfId="1" applyNumberFormat="1" applyFont="1" applyBorder="1" applyAlignment="1">
      <alignment vertical="top" wrapText="1"/>
    </xf>
    <xf numFmtId="0" fontId="0" fillId="0" borderId="12" xfId="0" applyBorder="1" applyAlignment="1">
      <alignment vertical="top" wrapText="1"/>
    </xf>
    <xf numFmtId="166" fontId="16" fillId="0" borderId="10" xfId="1" applyNumberFormat="1" applyFont="1" applyBorder="1" applyAlignment="1">
      <alignment horizontal="left" vertical="center"/>
    </xf>
    <xf numFmtId="0" fontId="16" fillId="0" borderId="11" xfId="0" applyFont="1" applyBorder="1" applyAlignment="1">
      <alignment vertical="center"/>
    </xf>
    <xf numFmtId="0" fontId="0" fillId="0" borderId="0" xfId="0"/>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166" fontId="0" fillId="0" borderId="0" xfId="1" applyNumberFormat="1" applyFont="1" applyAlignment="1">
      <alignment vertical="top"/>
    </xf>
    <xf numFmtId="166" fontId="0" fillId="0" borderId="0" xfId="1" applyNumberFormat="1" applyFont="1"/>
    <xf numFmtId="0" fontId="0" fillId="0" borderId="0" xfId="0" applyAlignment="1">
      <alignment horizontal="center" wrapText="1"/>
    </xf>
    <xf numFmtId="0" fontId="0" fillId="35" borderId="0" xfId="0" applyFill="1"/>
    <xf numFmtId="0" fontId="0" fillId="0" borderId="0" xfId="0" applyFill="1" applyBorder="1" applyAlignment="1">
      <alignment vertical="top"/>
    </xf>
    <xf numFmtId="0" fontId="0" fillId="0" borderId="20" xfId="0" applyBorder="1"/>
    <xf numFmtId="0" fontId="0" fillId="0" borderId="0" xfId="0" applyBorder="1" applyAlignment="1">
      <alignment vertical="top" wrapText="1"/>
    </xf>
    <xf numFmtId="0" fontId="0" fillId="0" borderId="0" xfId="0" applyBorder="1" applyAlignment="1">
      <alignment horizontal="center" vertical="top"/>
    </xf>
    <xf numFmtId="166" fontId="0" fillId="35" borderId="10" xfId="1" applyNumberFormat="1" applyFont="1" applyFill="1" applyBorder="1" applyAlignment="1">
      <alignment horizontal="left" vertical="top"/>
    </xf>
    <xf numFmtId="0" fontId="0" fillId="0" borderId="11" xfId="0" applyBorder="1" applyAlignment="1">
      <alignment vertical="top" wrapText="1"/>
    </xf>
    <xf numFmtId="0" fontId="0" fillId="0" borderId="25" xfId="0" applyBorder="1" applyAlignment="1">
      <alignment vertical="top" wrapText="1"/>
    </xf>
    <xf numFmtId="166" fontId="22" fillId="35" borderId="10" xfId="1" applyNumberFormat="1" applyFont="1" applyFill="1" applyBorder="1" applyAlignment="1">
      <alignment horizontal="left" vertical="top"/>
    </xf>
    <xf numFmtId="0" fontId="21" fillId="36" borderId="0" xfId="0" applyFont="1" applyFill="1" applyBorder="1" applyAlignment="1">
      <alignment horizontal="center" vertical="center" wrapText="1"/>
    </xf>
    <xf numFmtId="166" fontId="22" fillId="36" borderId="10" xfId="1" applyNumberFormat="1" applyFont="1" applyFill="1" applyBorder="1" applyAlignment="1">
      <alignment horizontal="left" vertical="top"/>
    </xf>
    <xf numFmtId="166" fontId="22" fillId="36" borderId="10" xfId="1" applyNumberFormat="1" applyFont="1" applyFill="1" applyBorder="1" applyAlignment="1">
      <alignment horizontal="left" vertical="top" wrapText="1"/>
    </xf>
    <xf numFmtId="0" fontId="22" fillId="36" borderId="10" xfId="0" applyFont="1" applyFill="1" applyBorder="1"/>
    <xf numFmtId="166" fontId="22" fillId="36" borderId="10" xfId="1" applyNumberFormat="1" applyFont="1" applyFill="1" applyBorder="1" applyAlignment="1">
      <alignment vertical="top"/>
    </xf>
    <xf numFmtId="166" fontId="21" fillId="36" borderId="10" xfId="1" applyNumberFormat="1" applyFont="1" applyFill="1" applyBorder="1" applyAlignment="1">
      <alignment horizontal="left" vertical="center"/>
    </xf>
    <xf numFmtId="166" fontId="21" fillId="36" borderId="0" xfId="1" applyNumberFormat="1" applyFont="1" applyFill="1" applyAlignment="1">
      <alignment horizontal="left" vertical="center"/>
    </xf>
    <xf numFmtId="166" fontId="22" fillId="36" borderId="0" xfId="1" applyNumberFormat="1" applyFont="1" applyFill="1" applyAlignment="1">
      <alignment horizontal="left" vertical="top" wrapText="1"/>
    </xf>
    <xf numFmtId="166" fontId="21" fillId="36" borderId="0" xfId="1" applyNumberFormat="1" applyFont="1" applyFill="1" applyBorder="1" applyAlignment="1">
      <alignment horizontal="left" vertical="center"/>
    </xf>
    <xf numFmtId="166" fontId="22" fillId="36" borderId="0" xfId="1" applyNumberFormat="1" applyFont="1" applyFill="1" applyBorder="1" applyAlignment="1">
      <alignment horizontal="left" vertical="top" wrapText="1"/>
    </xf>
    <xf numFmtId="0" fontId="22" fillId="36" borderId="0" xfId="0" applyFont="1" applyFill="1"/>
    <xf numFmtId="166" fontId="22" fillId="36" borderId="0" xfId="1" applyNumberFormat="1" applyFont="1" applyFill="1" applyAlignment="1">
      <alignment horizontal="left" vertical="top"/>
    </xf>
    <xf numFmtId="0" fontId="16" fillId="40" borderId="16" xfId="0" applyFont="1" applyFill="1" applyBorder="1" applyAlignment="1">
      <alignment horizontal="center" vertical="center" wrapText="1"/>
    </xf>
    <xf numFmtId="0" fontId="16" fillId="40" borderId="17" xfId="0" applyFont="1" applyFill="1" applyBorder="1" applyAlignment="1">
      <alignment horizontal="center" vertical="center"/>
    </xf>
    <xf numFmtId="0" fontId="16" fillId="40" borderId="0" xfId="0" applyFont="1" applyFill="1" applyBorder="1" applyAlignment="1">
      <alignment horizontal="center" vertical="center" wrapText="1"/>
    </xf>
    <xf numFmtId="0" fontId="16" fillId="40" borderId="0" xfId="0" applyFont="1" applyFill="1" applyBorder="1" applyAlignment="1">
      <alignment horizontal="center" vertical="center"/>
    </xf>
    <xf numFmtId="166" fontId="0" fillId="40" borderId="10" xfId="1" applyNumberFormat="1" applyFont="1" applyFill="1" applyBorder="1" applyAlignment="1">
      <alignment horizontal="left" vertical="top"/>
    </xf>
    <xf numFmtId="0" fontId="0" fillId="40" borderId="10" xfId="0" applyFill="1" applyBorder="1"/>
    <xf numFmtId="0" fontId="0" fillId="0" borderId="26" xfId="0" applyBorder="1" applyAlignment="1">
      <alignment vertical="top" wrapText="1"/>
    </xf>
    <xf numFmtId="0" fontId="16" fillId="0" borderId="11" xfId="0" applyFont="1" applyBorder="1" applyAlignment="1">
      <alignment vertical="center" wrapText="1"/>
    </xf>
    <xf numFmtId="0" fontId="16" fillId="0" borderId="26" xfId="0" applyFont="1" applyBorder="1" applyAlignment="1">
      <alignment vertical="center" wrapText="1"/>
    </xf>
    <xf numFmtId="166" fontId="22" fillId="36" borderId="12" xfId="1" applyNumberFormat="1" applyFont="1" applyFill="1" applyBorder="1" applyAlignment="1">
      <alignment horizontal="left" vertical="top" wrapText="1"/>
    </xf>
    <xf numFmtId="166" fontId="22" fillId="36" borderId="12" xfId="1" applyNumberFormat="1" applyFont="1" applyFill="1" applyBorder="1" applyAlignment="1">
      <alignment horizontal="left" vertical="top"/>
    </xf>
    <xf numFmtId="166" fontId="22" fillId="36" borderId="12" xfId="1" applyNumberFormat="1" applyFont="1" applyFill="1" applyBorder="1" applyAlignment="1">
      <alignment vertical="top" wrapText="1"/>
    </xf>
    <xf numFmtId="166" fontId="22" fillId="36" borderId="12" xfId="1" applyNumberFormat="1" applyFont="1" applyFill="1" applyBorder="1" applyAlignment="1">
      <alignment vertical="top"/>
    </xf>
    <xf numFmtId="0" fontId="16" fillId="0" borderId="11" xfId="0" applyFont="1" applyBorder="1" applyAlignment="1">
      <alignment horizontal="center" vertical="center" textRotation="90"/>
    </xf>
    <xf numFmtId="0" fontId="21" fillId="36" borderId="15" xfId="0" applyFont="1" applyFill="1" applyBorder="1" applyAlignment="1">
      <alignment horizontal="center" vertical="center" wrapText="1"/>
    </xf>
    <xf numFmtId="0" fontId="21" fillId="36" borderId="17" xfId="0" applyFont="1" applyFill="1" applyBorder="1" applyAlignment="1">
      <alignment horizontal="center" vertical="center" wrapText="1"/>
    </xf>
    <xf numFmtId="166" fontId="16" fillId="0" borderId="10" xfId="1" applyNumberFormat="1" applyFont="1" applyBorder="1" applyAlignment="1">
      <alignment horizontal="left" vertical="center" wrapText="1"/>
    </xf>
    <xf numFmtId="166" fontId="16" fillId="35" borderId="10" xfId="1" applyNumberFormat="1" applyFont="1" applyFill="1" applyBorder="1" applyAlignment="1">
      <alignment horizontal="left" vertical="center"/>
    </xf>
    <xf numFmtId="0" fontId="16" fillId="0" borderId="26" xfId="0" applyFont="1" applyBorder="1" applyAlignment="1">
      <alignment horizontal="left" vertical="center" wrapText="1"/>
    </xf>
    <xf numFmtId="166" fontId="16" fillId="40" borderId="10" xfId="1" applyNumberFormat="1" applyFont="1" applyFill="1" applyBorder="1" applyAlignment="1">
      <alignment horizontal="left" vertical="center"/>
    </xf>
    <xf numFmtId="166" fontId="16" fillId="35" borderId="24" xfId="1" applyNumberFormat="1" applyFont="1" applyFill="1" applyBorder="1" applyAlignment="1">
      <alignment horizontal="left" vertical="center"/>
    </xf>
    <xf numFmtId="166" fontId="0" fillId="40" borderId="10" xfId="1" applyNumberFormat="1" applyFont="1" applyFill="1" applyBorder="1" applyAlignment="1">
      <alignment horizontal="left" vertical="top" wrapText="1"/>
    </xf>
    <xf numFmtId="0" fontId="16" fillId="0" borderId="10" xfId="0" applyFont="1" applyBorder="1" applyAlignment="1">
      <alignment vertical="center"/>
    </xf>
    <xf numFmtId="166" fontId="21" fillId="35" borderId="10" xfId="1" applyNumberFormat="1" applyFont="1" applyFill="1" applyBorder="1" applyAlignment="1">
      <alignment horizontal="left" vertical="center"/>
    </xf>
    <xf numFmtId="0" fontId="0" fillId="0" borderId="13" xfId="0" applyBorder="1" applyAlignment="1">
      <alignment horizontal="center" vertical="top" wrapText="1"/>
    </xf>
    <xf numFmtId="0" fontId="16" fillId="35" borderId="11" xfId="0" applyFont="1" applyFill="1" applyBorder="1" applyAlignment="1">
      <alignment horizontal="left" vertical="center" wrapText="1"/>
    </xf>
    <xf numFmtId="0" fontId="16" fillId="35" borderId="12" xfId="0" applyFont="1" applyFill="1" applyBorder="1" applyAlignment="1">
      <alignment horizontal="left" vertical="center" wrapText="1"/>
    </xf>
    <xf numFmtId="0" fontId="16" fillId="35" borderId="13" xfId="0" applyFont="1" applyFill="1" applyBorder="1" applyAlignment="1">
      <alignment horizontal="left" vertical="center" wrapText="1"/>
    </xf>
    <xf numFmtId="0" fontId="16" fillId="35" borderId="10" xfId="0" applyFont="1" applyFill="1" applyBorder="1" applyAlignment="1">
      <alignment horizontal="center" vertical="center" wrapText="1"/>
    </xf>
    <xf numFmtId="166" fontId="16" fillId="35" borderId="10" xfId="1" applyNumberFormat="1" applyFont="1" applyFill="1" applyBorder="1" applyAlignment="1">
      <alignment vertical="center" wrapText="1"/>
    </xf>
    <xf numFmtId="0" fontId="16" fillId="35" borderId="11" xfId="0" applyFont="1" applyFill="1" applyBorder="1" applyAlignment="1">
      <alignment vertical="center" wrapText="1"/>
    </xf>
    <xf numFmtId="0" fontId="0" fillId="35" borderId="10" xfId="0" applyFill="1" applyBorder="1" applyAlignment="1">
      <alignment vertical="top"/>
    </xf>
    <xf numFmtId="0" fontId="16" fillId="0" borderId="12" xfId="0" applyFont="1" applyBorder="1" applyAlignment="1">
      <alignment vertical="center" wrapText="1"/>
    </xf>
    <xf numFmtId="0" fontId="16" fillId="0" borderId="12" xfId="0" applyFont="1" applyBorder="1" applyAlignment="1">
      <alignment horizontal="center" vertical="center" wrapText="1"/>
    </xf>
    <xf numFmtId="166" fontId="16" fillId="0" borderId="12" xfId="1" applyNumberFormat="1" applyFont="1" applyBorder="1" applyAlignment="1">
      <alignment vertical="center" wrapText="1"/>
    </xf>
    <xf numFmtId="0" fontId="16" fillId="41" borderId="10" xfId="0" applyFont="1" applyFill="1" applyBorder="1" applyAlignment="1">
      <alignment vertical="center" wrapText="1"/>
    </xf>
    <xf numFmtId="0" fontId="16" fillId="41" borderId="10" xfId="0" applyFont="1" applyFill="1" applyBorder="1" applyAlignment="1">
      <alignment horizontal="center" vertical="center" wrapText="1"/>
    </xf>
    <xf numFmtId="166" fontId="16" fillId="41" borderId="10" xfId="1" applyNumberFormat="1" applyFont="1" applyFill="1" applyBorder="1" applyAlignment="1">
      <alignment vertical="center" wrapText="1"/>
    </xf>
    <xf numFmtId="166" fontId="16" fillId="41" borderId="24" xfId="1" applyNumberFormat="1" applyFont="1" applyFill="1" applyBorder="1" applyAlignment="1">
      <alignment vertical="center" wrapText="1"/>
    </xf>
    <xf numFmtId="0" fontId="16" fillId="41" borderId="26" xfId="0" applyFont="1" applyFill="1" applyBorder="1" applyAlignment="1">
      <alignment vertical="center" wrapText="1"/>
    </xf>
    <xf numFmtId="166" fontId="21" fillId="41" borderId="10" xfId="1" applyNumberFormat="1" applyFont="1" applyFill="1" applyBorder="1" applyAlignment="1">
      <alignment horizontal="left" vertical="center"/>
    </xf>
    <xf numFmtId="166" fontId="21" fillId="41" borderId="0" xfId="1" applyNumberFormat="1" applyFont="1" applyFill="1" applyAlignment="1">
      <alignment horizontal="left" vertical="center"/>
    </xf>
    <xf numFmtId="166" fontId="16" fillId="41" borderId="10" xfId="1" applyNumberFormat="1" applyFont="1" applyFill="1" applyBorder="1" applyAlignment="1">
      <alignment horizontal="left" vertical="center"/>
    </xf>
    <xf numFmtId="0" fontId="16" fillId="41" borderId="10" xfId="0" applyFont="1" applyFill="1" applyBorder="1" applyAlignment="1">
      <alignment horizontal="left" vertical="center" wrapText="1"/>
    </xf>
    <xf numFmtId="166" fontId="16" fillId="41" borderId="10" xfId="1" applyNumberFormat="1" applyFont="1" applyFill="1" applyBorder="1" applyAlignment="1">
      <alignment horizontal="left" vertical="center" wrapText="1"/>
    </xf>
    <xf numFmtId="0" fontId="16" fillId="41" borderId="26" xfId="0" applyFont="1" applyFill="1" applyBorder="1" applyAlignment="1">
      <alignment horizontal="left" vertical="center" wrapText="1"/>
    </xf>
    <xf numFmtId="166" fontId="21" fillId="41" borderId="12" xfId="1" applyNumberFormat="1" applyFont="1" applyFill="1" applyBorder="1" applyAlignment="1">
      <alignment horizontal="left" vertical="center"/>
    </xf>
    <xf numFmtId="166" fontId="21" fillId="36" borderId="10" xfId="1" applyNumberFormat="1" applyFont="1" applyFill="1" applyBorder="1" applyAlignment="1">
      <alignment horizontal="left" vertical="center" wrapText="1"/>
    </xf>
    <xf numFmtId="0" fontId="16" fillId="41" borderId="11" xfId="0" applyFont="1" applyFill="1" applyBorder="1" applyAlignment="1">
      <alignment vertical="center"/>
    </xf>
    <xf numFmtId="0" fontId="0" fillId="41" borderId="12" xfId="0" applyFill="1" applyBorder="1" applyAlignment="1">
      <alignment vertical="top" wrapText="1"/>
    </xf>
    <xf numFmtId="0" fontId="0" fillId="41" borderId="12" xfId="0" applyFill="1" applyBorder="1" applyAlignment="1">
      <alignment horizontal="center" vertical="top" wrapText="1"/>
    </xf>
    <xf numFmtId="0" fontId="0" fillId="41" borderId="13" xfId="0" applyFill="1" applyBorder="1" applyAlignment="1">
      <alignment vertical="top" wrapText="1"/>
    </xf>
    <xf numFmtId="0" fontId="0" fillId="41" borderId="10" xfId="0" applyFill="1" applyBorder="1" applyAlignment="1">
      <alignment vertical="top" wrapText="1"/>
    </xf>
    <xf numFmtId="0" fontId="0" fillId="41" borderId="10" xfId="0" applyFill="1" applyBorder="1" applyAlignment="1">
      <alignment horizontal="center" vertical="top" wrapText="1"/>
    </xf>
    <xf numFmtId="166" fontId="0" fillId="41" borderId="10" xfId="1" applyNumberFormat="1" applyFont="1" applyFill="1" applyBorder="1" applyAlignment="1">
      <alignment vertical="top" wrapText="1"/>
    </xf>
    <xf numFmtId="0" fontId="16" fillId="41" borderId="11" xfId="0" applyFont="1" applyFill="1" applyBorder="1" applyAlignment="1">
      <alignment vertical="center" wrapText="1"/>
    </xf>
    <xf numFmtId="166" fontId="21" fillId="41" borderId="12" xfId="1" applyNumberFormat="1" applyFont="1" applyFill="1" applyBorder="1" applyAlignment="1">
      <alignment horizontal="left" vertical="center" wrapText="1"/>
    </xf>
    <xf numFmtId="166" fontId="22" fillId="41" borderId="12" xfId="1" applyNumberFormat="1" applyFont="1" applyFill="1" applyBorder="1" applyAlignment="1">
      <alignment horizontal="left" vertical="top" wrapText="1"/>
    </xf>
    <xf numFmtId="0" fontId="0" fillId="41" borderId="11" xfId="0" applyFill="1" applyBorder="1" applyAlignment="1">
      <alignment vertical="top" wrapText="1"/>
    </xf>
    <xf numFmtId="166" fontId="22" fillId="41" borderId="10" xfId="1" applyNumberFormat="1" applyFont="1" applyFill="1" applyBorder="1" applyAlignment="1">
      <alignment horizontal="left" vertical="top"/>
    </xf>
    <xf numFmtId="166" fontId="0" fillId="41" borderId="10" xfId="1" applyNumberFormat="1" applyFont="1" applyFill="1" applyBorder="1" applyAlignment="1">
      <alignment horizontal="left" vertical="top"/>
    </xf>
    <xf numFmtId="0" fontId="0" fillId="35" borderId="10" xfId="0" applyFill="1" applyBorder="1" applyAlignment="1">
      <alignment horizontal="center" vertical="top" wrapText="1"/>
    </xf>
    <xf numFmtId="0" fontId="0" fillId="35" borderId="11" xfId="0" applyFill="1" applyBorder="1" applyAlignment="1">
      <alignment vertical="top" wrapText="1"/>
    </xf>
    <xf numFmtId="0" fontId="22" fillId="36" borderId="10" xfId="1" applyNumberFormat="1" applyFont="1" applyFill="1" applyBorder="1" applyAlignment="1">
      <alignment horizontal="left" vertical="top" wrapText="1"/>
    </xf>
    <xf numFmtId="0" fontId="16" fillId="41" borderId="10" xfId="0" applyFont="1" applyFill="1" applyBorder="1" applyAlignment="1">
      <alignment vertical="center"/>
    </xf>
    <xf numFmtId="0" fontId="0" fillId="40" borderId="10" xfId="1" applyNumberFormat="1" applyFont="1" applyFill="1" applyBorder="1" applyAlignment="1">
      <alignment horizontal="left" vertical="top"/>
    </xf>
    <xf numFmtId="0" fontId="16" fillId="35" borderId="10" xfId="0" applyFont="1" applyFill="1" applyBorder="1" applyAlignment="1">
      <alignment vertical="center"/>
    </xf>
    <xf numFmtId="0" fontId="16" fillId="35" borderId="10" xfId="0" applyFont="1" applyFill="1" applyBorder="1" applyAlignment="1">
      <alignment vertical="center" wrapText="1"/>
    </xf>
    <xf numFmtId="0" fontId="16" fillId="35" borderId="11" xfId="0" applyFont="1" applyFill="1" applyBorder="1" applyAlignment="1">
      <alignment horizontal="right" vertical="center" wrapText="1"/>
    </xf>
    <xf numFmtId="0" fontId="16" fillId="35" borderId="12" xfId="0" applyFont="1" applyFill="1" applyBorder="1" applyAlignment="1">
      <alignment horizontal="right" vertical="center" wrapText="1"/>
    </xf>
    <xf numFmtId="0" fontId="16" fillId="35" borderId="13" xfId="0" applyFont="1" applyFill="1" applyBorder="1" applyAlignment="1">
      <alignment horizontal="right" vertical="center" wrapText="1"/>
    </xf>
    <xf numFmtId="0" fontId="0" fillId="41" borderId="0" xfId="0" applyFill="1" applyAlignment="1">
      <alignment horizontal="center" wrapText="1"/>
    </xf>
    <xf numFmtId="0" fontId="0" fillId="41" borderId="0" xfId="0" applyFill="1" applyAlignment="1">
      <alignment wrapText="1"/>
    </xf>
    <xf numFmtId="166" fontId="16" fillId="41" borderId="0" xfId="0" applyNumberFormat="1" applyFont="1" applyFill="1" applyAlignment="1">
      <alignment vertical="center" wrapText="1"/>
    </xf>
    <xf numFmtId="0" fontId="16" fillId="41" borderId="0" xfId="0" applyFont="1" applyFill="1" applyAlignment="1">
      <alignment vertical="center" wrapText="1"/>
    </xf>
    <xf numFmtId="166" fontId="21" fillId="44" borderId="10" xfId="1" applyNumberFormat="1" applyFont="1" applyFill="1" applyBorder="1" applyAlignment="1">
      <alignment horizontal="left" vertical="center"/>
    </xf>
    <xf numFmtId="166" fontId="16" fillId="44" borderId="10" xfId="1" applyNumberFormat="1" applyFont="1" applyFill="1" applyBorder="1" applyAlignment="1">
      <alignment horizontal="left" vertical="center"/>
    </xf>
    <xf numFmtId="0" fontId="24" fillId="0" borderId="0" xfId="0" applyFont="1" applyAlignment="1"/>
    <xf numFmtId="0" fontId="25" fillId="0" borderId="22" xfId="0" applyFont="1" applyBorder="1"/>
    <xf numFmtId="0" fontId="16" fillId="0" borderId="22" xfId="0" applyFont="1" applyBorder="1" applyAlignment="1">
      <alignment horizontal="center"/>
    </xf>
    <xf numFmtId="167" fontId="0" fillId="0" borderId="0" xfId="0" applyNumberFormat="1"/>
    <xf numFmtId="167" fontId="0" fillId="0" borderId="0" xfId="43" applyNumberFormat="1" applyFont="1" applyAlignment="1">
      <alignment horizontal="center"/>
    </xf>
    <xf numFmtId="10" fontId="0" fillId="0" borderId="0" xfId="0" applyNumberFormat="1"/>
    <xf numFmtId="10" fontId="0" fillId="0" borderId="0" xfId="44" applyNumberFormat="1" applyFont="1" applyAlignment="1">
      <alignment horizontal="right"/>
    </xf>
    <xf numFmtId="9" fontId="0" fillId="0" borderId="0" xfId="44" applyFont="1"/>
    <xf numFmtId="0" fontId="0" fillId="35" borderId="8" xfId="16" applyFont="1" applyFill="1"/>
    <xf numFmtId="165" fontId="0" fillId="35" borderId="8" xfId="16" applyNumberFormat="1" applyFont="1" applyFill="1"/>
    <xf numFmtId="167" fontId="0" fillId="35" borderId="8" xfId="16" applyNumberFormat="1" applyFont="1" applyFill="1"/>
    <xf numFmtId="166" fontId="0" fillId="35" borderId="8" xfId="16" applyNumberFormat="1" applyFont="1" applyFill="1"/>
    <xf numFmtId="0" fontId="7" fillId="3" borderId="0" xfId="8"/>
    <xf numFmtId="166" fontId="7" fillId="3" borderId="0" xfId="8" applyNumberFormat="1"/>
    <xf numFmtId="166" fontId="7" fillId="3" borderId="0" xfId="8" applyNumberFormat="1" applyAlignment="1">
      <alignment horizontal="right"/>
    </xf>
    <xf numFmtId="164" fontId="7" fillId="3" borderId="0" xfId="8" applyNumberFormat="1"/>
    <xf numFmtId="0" fontId="0" fillId="0" borderId="29" xfId="0" applyBorder="1"/>
    <xf numFmtId="166" fontId="0" fillId="0" borderId="29" xfId="1" applyNumberFormat="1" applyFont="1" applyBorder="1"/>
    <xf numFmtId="0" fontId="26" fillId="0" borderId="0" xfId="0" applyFont="1"/>
    <xf numFmtId="168" fontId="27" fillId="0" borderId="0" xfId="44" applyNumberFormat="1" applyFont="1"/>
    <xf numFmtId="0" fontId="27" fillId="0" borderId="0" xfId="0" applyFont="1"/>
    <xf numFmtId="0" fontId="28" fillId="0" borderId="22" xfId="0" applyFont="1" applyBorder="1"/>
    <xf numFmtId="167" fontId="0" fillId="0" borderId="0" xfId="43" applyNumberFormat="1" applyFont="1"/>
    <xf numFmtId="167" fontId="0" fillId="35" borderId="8" xfId="43" applyNumberFormat="1" applyFont="1" applyFill="1" applyBorder="1"/>
    <xf numFmtId="0" fontId="0" fillId="39" borderId="30" xfId="16" applyFont="1" applyFill="1" applyBorder="1"/>
    <xf numFmtId="166" fontId="0" fillId="39" borderId="30" xfId="16" applyNumberFormat="1" applyFont="1" applyFill="1" applyBorder="1"/>
    <xf numFmtId="0" fontId="0" fillId="0" borderId="22" xfId="0" applyBorder="1"/>
    <xf numFmtId="0" fontId="0" fillId="39" borderId="29" xfId="0" applyFill="1" applyBorder="1"/>
    <xf numFmtId="166" fontId="0" fillId="39" borderId="29" xfId="0" applyNumberFormat="1" applyFill="1" applyBorder="1"/>
    <xf numFmtId="166" fontId="0" fillId="39" borderId="29" xfId="1" applyNumberFormat="1" applyFont="1" applyFill="1" applyBorder="1"/>
    <xf numFmtId="166" fontId="0" fillId="0" borderId="22" xfId="1" applyNumberFormat="1" applyFont="1" applyBorder="1"/>
    <xf numFmtId="0" fontId="0" fillId="35" borderId="31" xfId="0" applyFill="1" applyBorder="1"/>
    <xf numFmtId="166" fontId="0" fillId="35" borderId="31" xfId="1" applyNumberFormat="1" applyFont="1" applyFill="1" applyBorder="1"/>
    <xf numFmtId="169" fontId="0" fillId="0" borderId="0" xfId="0" applyNumberFormat="1"/>
    <xf numFmtId="166" fontId="0" fillId="0" borderId="0" xfId="0" applyNumberFormat="1"/>
    <xf numFmtId="0" fontId="0" fillId="35" borderId="0" xfId="0" applyFill="1" applyBorder="1"/>
    <xf numFmtId="166" fontId="0" fillId="35" borderId="0" xfId="1" applyNumberFormat="1" applyFont="1" applyFill="1" applyBorder="1"/>
    <xf numFmtId="0" fontId="30" fillId="0" borderId="32" xfId="45" applyFont="1" applyBorder="1" applyAlignment="1"/>
    <xf numFmtId="0" fontId="30" fillId="0" borderId="0" xfId="45" applyFont="1" applyBorder="1" applyAlignment="1"/>
    <xf numFmtId="3" fontId="31" fillId="0" borderId="0" xfId="45" applyNumberFormat="1" applyFont="1" applyBorder="1"/>
    <xf numFmtId="0" fontId="31" fillId="0" borderId="0" xfId="45" applyFont="1" applyBorder="1"/>
    <xf numFmtId="3" fontId="32" fillId="0" borderId="32" xfId="45" applyNumberFormat="1" applyFont="1" applyBorder="1"/>
    <xf numFmtId="0" fontId="33" fillId="0" borderId="0" xfId="45" applyFont="1" applyBorder="1" applyAlignment="1">
      <alignment horizontal="center"/>
    </xf>
    <xf numFmtId="3" fontId="34" fillId="0" borderId="18" xfId="45" applyNumberFormat="1" applyFont="1" applyBorder="1" applyAlignment="1">
      <alignment horizontal="center"/>
    </xf>
    <xf numFmtId="0" fontId="33" fillId="0" borderId="31" xfId="45" applyFont="1" applyBorder="1" applyAlignment="1">
      <alignment horizontal="center" wrapText="1"/>
    </xf>
    <xf numFmtId="166" fontId="33" fillId="37" borderId="31" xfId="46" applyNumberFormat="1" applyFont="1" applyFill="1" applyBorder="1" applyAlignment="1">
      <alignment horizontal="center" wrapText="1"/>
    </xf>
    <xf numFmtId="0" fontId="33" fillId="0" borderId="33" xfId="45" applyFont="1" applyBorder="1" applyAlignment="1">
      <alignment horizontal="center"/>
    </xf>
    <xf numFmtId="0" fontId="33" fillId="34" borderId="34" xfId="45" applyFont="1" applyFill="1" applyBorder="1" applyAlignment="1">
      <alignment horizontal="center" wrapText="1"/>
    </xf>
    <xf numFmtId="0" fontId="33" fillId="0" borderId="31" xfId="45" applyFont="1" applyBorder="1" applyAlignment="1">
      <alignment horizontal="center"/>
    </xf>
    <xf numFmtId="0" fontId="16" fillId="35" borderId="35" xfId="0" applyFont="1" applyFill="1" applyBorder="1" applyAlignment="1">
      <alignment wrapText="1"/>
    </xf>
    <xf numFmtId="0" fontId="35" fillId="0" borderId="20" xfId="45" applyFont="1" applyBorder="1"/>
    <xf numFmtId="166" fontId="36" fillId="0" borderId="0" xfId="46" applyNumberFormat="1" applyFont="1" applyBorder="1"/>
    <xf numFmtId="10" fontId="31" fillId="0" borderId="0" xfId="47" applyNumberFormat="1" applyFont="1" applyBorder="1"/>
    <xf numFmtId="166" fontId="31" fillId="0" borderId="0" xfId="46" applyNumberFormat="1" applyFont="1" applyBorder="1"/>
    <xf numFmtId="166" fontId="31" fillId="37" borderId="0" xfId="46" applyNumberFormat="1" applyFont="1" applyFill="1" applyBorder="1"/>
    <xf numFmtId="10" fontId="31" fillId="0" borderId="36" xfId="48" applyNumberFormat="1" applyFont="1" applyBorder="1"/>
    <xf numFmtId="166" fontId="31" fillId="34" borderId="27" xfId="46" applyNumberFormat="1" applyFont="1" applyFill="1" applyBorder="1"/>
    <xf numFmtId="10" fontId="31" fillId="0" borderId="0" xfId="48" applyNumberFormat="1" applyFont="1" applyBorder="1"/>
    <xf numFmtId="166" fontId="0" fillId="35" borderId="37" xfId="1" applyNumberFormat="1" applyFont="1" applyFill="1" applyBorder="1"/>
    <xf numFmtId="10" fontId="31" fillId="0" borderId="0" xfId="48" applyNumberFormat="1" applyFont="1" applyBorder="1" applyAlignment="1">
      <alignment horizontal="center"/>
    </xf>
    <xf numFmtId="3" fontId="36" fillId="0" borderId="0" xfId="45" applyNumberFormat="1" applyFont="1" applyBorder="1"/>
    <xf numFmtId="10" fontId="31" fillId="0" borderId="0" xfId="45" applyNumberFormat="1" applyFont="1" applyBorder="1"/>
    <xf numFmtId="3" fontId="31" fillId="34" borderId="27" xfId="45" applyNumberFormat="1" applyFont="1" applyFill="1" applyBorder="1"/>
    <xf numFmtId="0" fontId="31" fillId="0" borderId="38" xfId="45" applyFont="1" applyBorder="1"/>
    <xf numFmtId="166" fontId="16" fillId="0" borderId="39" xfId="46" applyNumberFormat="1" applyFont="1" applyBorder="1"/>
    <xf numFmtId="166" fontId="16" fillId="37" borderId="39" xfId="46" applyNumberFormat="1" applyFont="1" applyFill="1" applyBorder="1"/>
    <xf numFmtId="0" fontId="38" fillId="0" borderId="40" xfId="45" applyFont="1" applyBorder="1" applyAlignment="1">
      <alignment horizontal="center"/>
    </xf>
    <xf numFmtId="166" fontId="16" fillId="34" borderId="41" xfId="46" applyNumberFormat="1" applyFont="1" applyFill="1" applyBorder="1"/>
    <xf numFmtId="166" fontId="31" fillId="0" borderId="39" xfId="45" applyNumberFormat="1" applyFont="1" applyBorder="1"/>
    <xf numFmtId="166" fontId="0" fillId="35" borderId="42" xfId="1" applyNumberFormat="1" applyFont="1" applyFill="1" applyBorder="1"/>
    <xf numFmtId="9" fontId="31" fillId="0" borderId="39" xfId="44" applyFont="1" applyBorder="1" applyAlignment="1">
      <alignment horizontal="center"/>
    </xf>
    <xf numFmtId="0" fontId="39" fillId="0" borderId="32" xfId="45" applyFont="1" applyBorder="1"/>
    <xf numFmtId="166" fontId="16" fillId="0" borderId="0" xfId="46" applyNumberFormat="1" applyFont="1" applyBorder="1"/>
    <xf numFmtId="0" fontId="39" fillId="35" borderId="26" xfId="45" applyFont="1" applyFill="1" applyBorder="1"/>
    <xf numFmtId="0" fontId="0" fillId="0" borderId="0" xfId="0" applyBorder="1"/>
    <xf numFmtId="10" fontId="0" fillId="0" borderId="0" xfId="44" applyNumberFormat="1" applyFont="1"/>
    <xf numFmtId="0" fontId="19" fillId="37" borderId="25" xfId="0" applyFont="1" applyFill="1" applyBorder="1"/>
    <xf numFmtId="0" fontId="0" fillId="37" borderId="14" xfId="0" applyFill="1" applyBorder="1"/>
    <xf numFmtId="0" fontId="0" fillId="37" borderId="43" xfId="0" applyFill="1" applyBorder="1"/>
    <xf numFmtId="0" fontId="16" fillId="0" borderId="0" xfId="0" applyFont="1" applyBorder="1" applyAlignment="1"/>
    <xf numFmtId="0" fontId="19" fillId="37" borderId="32" xfId="0" applyFont="1" applyFill="1" applyBorder="1"/>
    <xf numFmtId="0" fontId="0" fillId="37" borderId="0" xfId="0" applyFill="1" applyBorder="1"/>
    <xf numFmtId="0" fontId="0" fillId="37" borderId="36" xfId="0" applyFill="1" applyBorder="1"/>
    <xf numFmtId="0" fontId="26" fillId="0" borderId="20" xfId="0" applyFont="1" applyBorder="1"/>
    <xf numFmtId="0" fontId="16" fillId="0" borderId="44" xfId="0" applyFont="1" applyBorder="1" applyAlignment="1">
      <alignment horizontal="center" vertical="top" wrapText="1"/>
    </xf>
    <xf numFmtId="0" fontId="0" fillId="37" borderId="32" xfId="0" applyFill="1" applyBorder="1"/>
    <xf numFmtId="166" fontId="0" fillId="37" borderId="0" xfId="0" applyNumberFormat="1" applyFill="1" applyBorder="1"/>
    <xf numFmtId="0" fontId="0" fillId="0" borderId="20" xfId="0" quotePrefix="1" applyBorder="1"/>
    <xf numFmtId="166" fontId="0" fillId="0" borderId="45" xfId="1" applyNumberFormat="1" applyFont="1" applyBorder="1"/>
    <xf numFmtId="166" fontId="0" fillId="0" borderId="45" xfId="1" applyNumberFormat="1" applyFont="1" applyBorder="1" applyAlignment="1">
      <alignment horizontal="center"/>
    </xf>
    <xf numFmtId="166" fontId="0" fillId="45" borderId="0" xfId="1" applyNumberFormat="1" applyFont="1" applyFill="1" applyBorder="1"/>
    <xf numFmtId="0" fontId="40" fillId="37" borderId="36" xfId="0" applyFont="1" applyFill="1" applyBorder="1"/>
    <xf numFmtId="0" fontId="40" fillId="35" borderId="0" xfId="0" applyFont="1" applyFill="1" applyBorder="1"/>
    <xf numFmtId="0" fontId="26" fillId="0" borderId="0" xfId="0" applyFont="1" applyBorder="1" applyAlignment="1">
      <alignment horizontal="right"/>
    </xf>
    <xf numFmtId="166" fontId="16" fillId="0" borderId="46" xfId="1" applyNumberFormat="1" applyFont="1" applyBorder="1"/>
    <xf numFmtId="166" fontId="16" fillId="0" borderId="46" xfId="1" applyNumberFormat="1" applyFont="1" applyBorder="1" applyAlignment="1">
      <alignment horizontal="center"/>
    </xf>
    <xf numFmtId="0" fontId="0" fillId="37" borderId="28" xfId="0" applyFill="1" applyBorder="1"/>
    <xf numFmtId="0" fontId="16" fillId="37" borderId="32" xfId="0" applyFont="1" applyFill="1" applyBorder="1"/>
    <xf numFmtId="166" fontId="0" fillId="37" borderId="29" xfId="0" applyNumberFormat="1" applyFill="1" applyBorder="1"/>
    <xf numFmtId="166" fontId="0" fillId="37" borderId="0" xfId="1" applyNumberFormat="1" applyFont="1" applyFill="1" applyBorder="1"/>
    <xf numFmtId="166" fontId="22" fillId="37" borderId="0" xfId="0" applyNumberFormat="1" applyFont="1" applyFill="1" applyBorder="1"/>
    <xf numFmtId="166" fontId="0" fillId="37" borderId="29" xfId="1" applyNumberFormat="1" applyFont="1" applyFill="1" applyBorder="1"/>
    <xf numFmtId="0" fontId="22" fillId="0" borderId="20" xfId="0" quotePrefix="1" applyFont="1" applyBorder="1"/>
    <xf numFmtId="0" fontId="27" fillId="37" borderId="26" xfId="0" applyFont="1" applyFill="1" applyBorder="1"/>
    <xf numFmtId="0" fontId="0" fillId="37" borderId="47" xfId="0" applyFill="1" applyBorder="1"/>
    <xf numFmtId="0" fontId="40" fillId="35" borderId="14" xfId="0" applyFont="1" applyFill="1" applyBorder="1" applyAlignment="1">
      <alignment vertical="top" wrapText="1"/>
    </xf>
    <xf numFmtId="0" fontId="40" fillId="35" borderId="0" xfId="0" applyFont="1" applyFill="1" applyBorder="1" applyAlignment="1">
      <alignment vertical="top" wrapText="1"/>
    </xf>
    <xf numFmtId="0" fontId="26" fillId="45" borderId="38" xfId="0" applyFont="1" applyFill="1" applyBorder="1"/>
    <xf numFmtId="0" fontId="0" fillId="45" borderId="22" xfId="0" applyFill="1" applyBorder="1"/>
    <xf numFmtId="166" fontId="16" fillId="45" borderId="48" xfId="1" applyNumberFormat="1" applyFont="1" applyFill="1" applyBorder="1"/>
    <xf numFmtId="166" fontId="16" fillId="45" borderId="48" xfId="1" applyNumberFormat="1" applyFont="1" applyFill="1" applyBorder="1" applyAlignment="1">
      <alignment horizontal="center"/>
    </xf>
    <xf numFmtId="0" fontId="41" fillId="34" borderId="18" xfId="0" applyFont="1" applyFill="1" applyBorder="1"/>
    <xf numFmtId="0" fontId="0" fillId="34" borderId="31" xfId="0" applyFill="1" applyBorder="1"/>
    <xf numFmtId="0" fontId="0" fillId="34" borderId="19" xfId="0" applyFill="1" applyBorder="1"/>
    <xf numFmtId="0" fontId="26" fillId="37" borderId="18" xfId="0" applyFont="1" applyFill="1" applyBorder="1"/>
    <xf numFmtId="166" fontId="0" fillId="37" borderId="31" xfId="0" applyNumberFormat="1" applyFill="1" applyBorder="1"/>
    <xf numFmtId="0" fontId="0" fillId="37" borderId="19" xfId="0" applyFill="1" applyBorder="1"/>
    <xf numFmtId="0" fontId="41" fillId="34" borderId="20" xfId="0" quotePrefix="1" applyFont="1" applyFill="1" applyBorder="1"/>
    <xf numFmtId="166" fontId="14" fillId="34" borderId="0" xfId="1" applyNumberFormat="1" applyFont="1" applyFill="1" applyBorder="1"/>
    <xf numFmtId="0" fontId="0" fillId="34" borderId="21" xfId="0" applyFill="1" applyBorder="1"/>
    <xf numFmtId="0" fontId="26" fillId="37" borderId="38" xfId="0" applyFont="1" applyFill="1" applyBorder="1"/>
    <xf numFmtId="166" fontId="0" fillId="37" borderId="22" xfId="0" applyNumberFormat="1" applyFill="1" applyBorder="1"/>
    <xf numFmtId="0" fontId="0" fillId="37" borderId="49" xfId="0" applyFill="1" applyBorder="1"/>
    <xf numFmtId="0" fontId="0" fillId="34" borderId="20" xfId="0" applyFill="1" applyBorder="1"/>
    <xf numFmtId="166" fontId="1" fillId="34" borderId="0" xfId="1" applyNumberFormat="1" applyFont="1" applyFill="1" applyBorder="1"/>
    <xf numFmtId="0" fontId="26" fillId="35" borderId="0" xfId="0" applyFont="1" applyFill="1" applyBorder="1"/>
    <xf numFmtId="166" fontId="0" fillId="35" borderId="0" xfId="0" applyNumberFormat="1" applyFill="1" applyBorder="1"/>
    <xf numFmtId="0" fontId="0" fillId="34" borderId="38" xfId="0" applyFill="1" applyBorder="1"/>
    <xf numFmtId="166" fontId="1" fillId="34" borderId="22" xfId="1" applyNumberFormat="1" applyFont="1" applyFill="1" applyBorder="1"/>
    <xf numFmtId="0" fontId="0" fillId="34" borderId="49" xfId="0" applyFill="1" applyBorder="1"/>
    <xf numFmtId="0" fontId="42" fillId="0" borderId="0" xfId="0" applyFont="1"/>
    <xf numFmtId="0" fontId="23" fillId="0" borderId="0" xfId="0" applyFont="1" applyAlignment="1">
      <alignment horizontal="left" vertical="top"/>
    </xf>
    <xf numFmtId="0" fontId="0" fillId="0" borderId="0" xfId="0" applyAlignment="1">
      <alignment horizontal="left" vertical="top" wrapText="1"/>
    </xf>
    <xf numFmtId="0" fontId="0" fillId="0" borderId="0" xfId="1" applyNumberFormat="1" applyFont="1" applyAlignment="1">
      <alignment horizontal="center" vertical="top"/>
    </xf>
    <xf numFmtId="0" fontId="0" fillId="0" borderId="0" xfId="1" applyNumberFormat="1" applyFont="1" applyAlignment="1">
      <alignment vertical="top"/>
    </xf>
    <xf numFmtId="0" fontId="16" fillId="0" borderId="0" xfId="0" applyFont="1" applyAlignment="1">
      <alignment horizontal="left" vertical="top"/>
    </xf>
    <xf numFmtId="0" fontId="0" fillId="0" borderId="18" xfId="0" applyBorder="1" applyAlignment="1">
      <alignment horizontal="left" vertical="top"/>
    </xf>
    <xf numFmtId="0" fontId="0" fillId="0" borderId="31" xfId="0" applyBorder="1" applyAlignment="1">
      <alignment vertical="top" wrapText="1"/>
    </xf>
    <xf numFmtId="0" fontId="0" fillId="0" borderId="31" xfId="0" applyBorder="1" applyAlignment="1">
      <alignment horizontal="center" vertical="top"/>
    </xf>
    <xf numFmtId="0" fontId="0" fillId="0" borderId="31" xfId="0" applyBorder="1" applyAlignment="1">
      <alignment horizontal="center" vertical="top" wrapText="1"/>
    </xf>
    <xf numFmtId="0" fontId="0" fillId="38" borderId="35" xfId="0" applyFill="1" applyBorder="1" applyAlignment="1">
      <alignment horizontal="center" vertical="top" wrapText="1"/>
    </xf>
    <xf numFmtId="0" fontId="0" fillId="43" borderId="19" xfId="0" applyFill="1" applyBorder="1" applyAlignment="1">
      <alignment horizontal="center" vertical="top" wrapText="1"/>
    </xf>
    <xf numFmtId="0" fontId="0" fillId="42" borderId="19" xfId="0" applyFill="1" applyBorder="1" applyAlignment="1">
      <alignment horizontal="center" vertical="top" wrapText="1"/>
    </xf>
    <xf numFmtId="0" fontId="0" fillId="36" borderId="19" xfId="0" applyFill="1" applyBorder="1" applyAlignment="1">
      <alignment horizontal="center" vertical="top" wrapText="1"/>
    </xf>
    <xf numFmtId="0" fontId="0" fillId="0" borderId="20" xfId="0" applyBorder="1" applyAlignment="1">
      <alignment horizontal="left" vertical="top"/>
    </xf>
    <xf numFmtId="0" fontId="0" fillId="0" borderId="0" xfId="0" applyBorder="1" applyAlignment="1">
      <alignment horizontal="right" vertical="top"/>
    </xf>
    <xf numFmtId="166" fontId="0" fillId="0" borderId="0" xfId="1" applyNumberFormat="1" applyFont="1" applyBorder="1" applyAlignment="1">
      <alignment vertical="top" wrapText="1"/>
    </xf>
    <xf numFmtId="166" fontId="0" fillId="0" borderId="37" xfId="0" applyNumberFormat="1" applyBorder="1" applyAlignment="1">
      <alignment vertical="top" wrapText="1"/>
    </xf>
    <xf numFmtId="166" fontId="0" fillId="0" borderId="21" xfId="0" applyNumberFormat="1" applyBorder="1" applyAlignment="1">
      <alignment vertical="top" wrapText="1"/>
    </xf>
    <xf numFmtId="0" fontId="0" fillId="0" borderId="0" xfId="0" applyBorder="1" applyAlignment="1">
      <alignment horizontal="right"/>
    </xf>
    <xf numFmtId="0" fontId="16" fillId="39" borderId="20" xfId="0" applyFont="1" applyFill="1" applyBorder="1"/>
    <xf numFmtId="0" fontId="16" fillId="39" borderId="0" xfId="0" applyFont="1" applyFill="1" applyBorder="1" applyAlignment="1">
      <alignment horizontal="right"/>
    </xf>
    <xf numFmtId="0" fontId="16" fillId="39" borderId="0" xfId="0" applyFont="1" applyFill="1" applyBorder="1"/>
    <xf numFmtId="166" fontId="16" fillId="39" borderId="0" xfId="1" applyNumberFormat="1" applyFont="1" applyFill="1" applyBorder="1"/>
    <xf numFmtId="166" fontId="16" fillId="39" borderId="37" xfId="1" applyNumberFormat="1" applyFont="1" applyFill="1" applyBorder="1"/>
    <xf numFmtId="166" fontId="16" fillId="39" borderId="21" xfId="1" applyNumberFormat="1" applyFont="1" applyFill="1" applyBorder="1"/>
    <xf numFmtId="0" fontId="16" fillId="39" borderId="38" xfId="0" applyFont="1" applyFill="1" applyBorder="1"/>
    <xf numFmtId="0" fontId="16" fillId="39" borderId="22" xfId="0" applyFont="1" applyFill="1" applyBorder="1" applyAlignment="1">
      <alignment horizontal="right"/>
    </xf>
    <xf numFmtId="0" fontId="16" fillId="39" borderId="22" xfId="0" applyFont="1" applyFill="1" applyBorder="1"/>
    <xf numFmtId="166" fontId="16" fillId="39" borderId="22" xfId="1" applyNumberFormat="1" applyFont="1" applyFill="1" applyBorder="1"/>
    <xf numFmtId="166" fontId="16" fillId="39" borderId="50" xfId="1" applyNumberFormat="1" applyFont="1" applyFill="1" applyBorder="1"/>
    <xf numFmtId="166" fontId="16" fillId="39" borderId="49" xfId="1" applyNumberFormat="1" applyFont="1" applyFill="1" applyBorder="1"/>
    <xf numFmtId="0" fontId="19" fillId="0" borderId="0" xfId="0" applyFont="1" applyAlignment="1">
      <alignment horizontal="left"/>
    </xf>
    <xf numFmtId="166" fontId="0" fillId="0" borderId="0" xfId="0" applyNumberFormat="1" applyAlignment="1">
      <alignment horizontal="left" vertical="top" wrapText="1"/>
    </xf>
    <xf numFmtId="0" fontId="0" fillId="33" borderId="35" xfId="0" applyFill="1" applyBorder="1" applyAlignment="1">
      <alignment horizontal="center" vertical="top" wrapText="1"/>
    </xf>
    <xf numFmtId="166" fontId="0" fillId="0" borderId="37" xfId="1" applyNumberFormat="1" applyFont="1" applyBorder="1" applyAlignment="1">
      <alignment vertical="top" wrapText="1"/>
    </xf>
    <xf numFmtId="166" fontId="0" fillId="0" borderId="0" xfId="1" applyNumberFormat="1" applyFont="1" applyBorder="1"/>
    <xf numFmtId="0" fontId="16" fillId="38" borderId="20" xfId="0" applyFont="1" applyFill="1" applyBorder="1"/>
    <xf numFmtId="0" fontId="16" fillId="38" borderId="0" xfId="0" applyFont="1" applyFill="1" applyBorder="1" applyAlignment="1">
      <alignment horizontal="right"/>
    </xf>
    <xf numFmtId="0" fontId="16" fillId="38" borderId="0" xfId="0" applyFont="1" applyFill="1" applyBorder="1"/>
    <xf numFmtId="166" fontId="16" fillId="38" borderId="0" xfId="1" applyNumberFormat="1" applyFont="1" applyFill="1" applyBorder="1"/>
    <xf numFmtId="166" fontId="16" fillId="38" borderId="37" xfId="1" applyNumberFormat="1" applyFont="1" applyFill="1" applyBorder="1"/>
    <xf numFmtId="166" fontId="16" fillId="35" borderId="21" xfId="1" applyNumberFormat="1" applyFont="1" applyFill="1" applyBorder="1"/>
    <xf numFmtId="0" fontId="16" fillId="43" borderId="38" xfId="0" applyFont="1" applyFill="1" applyBorder="1"/>
    <xf numFmtId="0" fontId="16" fillId="43" borderId="22" xfId="0" applyFont="1" applyFill="1" applyBorder="1" applyAlignment="1">
      <alignment horizontal="right"/>
    </xf>
    <xf numFmtId="0" fontId="16" fillId="43" borderId="22" xfId="0" applyFont="1" applyFill="1" applyBorder="1"/>
    <xf numFmtId="166" fontId="16" fillId="43" borderId="22" xfId="1" applyNumberFormat="1" applyFont="1" applyFill="1" applyBorder="1"/>
    <xf numFmtId="166" fontId="16" fillId="43" borderId="50" xfId="1" applyNumberFormat="1" applyFont="1" applyFill="1" applyBorder="1"/>
    <xf numFmtId="166" fontId="16" fillId="43" borderId="49" xfId="1" applyNumberFormat="1" applyFont="1" applyFill="1" applyBorder="1"/>
    <xf numFmtId="166" fontId="16" fillId="35" borderId="49" xfId="1" applyNumberFormat="1" applyFont="1" applyFill="1" applyBorder="1"/>
    <xf numFmtId="0" fontId="16" fillId="42" borderId="38" xfId="0" applyFont="1" applyFill="1" applyBorder="1"/>
    <xf numFmtId="0" fontId="16" fillId="42" borderId="22" xfId="0" applyFont="1" applyFill="1" applyBorder="1" applyAlignment="1">
      <alignment horizontal="right"/>
    </xf>
    <xf numFmtId="0" fontId="16" fillId="42" borderId="22" xfId="0" applyFont="1" applyFill="1" applyBorder="1"/>
    <xf numFmtId="166" fontId="16" fillId="42" borderId="22" xfId="1" applyNumberFormat="1" applyFont="1" applyFill="1" applyBorder="1"/>
    <xf numFmtId="166" fontId="16" fillId="42" borderId="50" xfId="1" applyNumberFormat="1" applyFont="1" applyFill="1" applyBorder="1"/>
    <xf numFmtId="166" fontId="16" fillId="42" borderId="49" xfId="1" applyNumberFormat="1" applyFont="1" applyFill="1" applyBorder="1"/>
    <xf numFmtId="0" fontId="16" fillId="36" borderId="38" xfId="0" applyFont="1" applyFill="1" applyBorder="1"/>
    <xf numFmtId="0" fontId="16" fillId="36" borderId="38" xfId="0" applyFont="1" applyFill="1" applyBorder="1" applyAlignment="1">
      <alignment horizontal="right"/>
    </xf>
    <xf numFmtId="0" fontId="16" fillId="36" borderId="22" xfId="0" applyFont="1" applyFill="1" applyBorder="1"/>
    <xf numFmtId="166" fontId="16" fillId="36" borderId="22" xfId="1" applyNumberFormat="1" applyFont="1" applyFill="1" applyBorder="1"/>
    <xf numFmtId="166" fontId="16" fillId="36" borderId="50" xfId="1" applyNumberFormat="1" applyFont="1" applyFill="1" applyBorder="1"/>
    <xf numFmtId="166" fontId="16" fillId="36" borderId="49" xfId="1" applyNumberFormat="1" applyFont="1" applyFill="1" applyBorder="1"/>
    <xf numFmtId="0" fontId="0" fillId="0" borderId="38" xfId="0" applyBorder="1" applyAlignment="1">
      <alignment horizontal="left" vertical="top"/>
    </xf>
    <xf numFmtId="0" fontId="0" fillId="0" borderId="22" xfId="0" applyBorder="1" applyAlignment="1">
      <alignment horizontal="right" vertical="top"/>
    </xf>
    <xf numFmtId="0" fontId="0" fillId="0" borderId="22" xfId="0" applyBorder="1" applyAlignment="1">
      <alignment horizontal="center" vertical="top"/>
    </xf>
    <xf numFmtId="166" fontId="0" fillId="0" borderId="22" xfId="1" applyNumberFormat="1" applyFont="1" applyBorder="1" applyAlignment="1">
      <alignment vertical="top" wrapText="1"/>
    </xf>
    <xf numFmtId="0" fontId="0" fillId="0" borderId="22" xfId="0" applyBorder="1" applyAlignment="1">
      <alignment vertical="top" wrapText="1"/>
    </xf>
    <xf numFmtId="166" fontId="0" fillId="0" borderId="50" xfId="0" applyNumberFormat="1" applyBorder="1" applyAlignment="1">
      <alignment vertical="top" wrapText="1"/>
    </xf>
    <xf numFmtId="166" fontId="0" fillId="0" borderId="49" xfId="0" applyNumberFormat="1" applyBorder="1" applyAlignment="1">
      <alignment vertical="top" wrapText="1"/>
    </xf>
    <xf numFmtId="166" fontId="0" fillId="0" borderId="0" xfId="0" applyNumberFormat="1" applyBorder="1" applyAlignment="1">
      <alignment vertical="top" wrapText="1"/>
    </xf>
    <xf numFmtId="0" fontId="0" fillId="0" borderId="31" xfId="0" applyBorder="1" applyAlignment="1">
      <alignment horizontal="left" vertical="top"/>
    </xf>
    <xf numFmtId="0" fontId="0" fillId="0" borderId="31" xfId="0" applyBorder="1" applyAlignment="1">
      <alignment horizontal="right" vertical="top"/>
    </xf>
    <xf numFmtId="166" fontId="0" fillId="0" borderId="31" xfId="1" applyNumberFormat="1" applyFont="1" applyBorder="1" applyAlignment="1">
      <alignment vertical="top" wrapText="1"/>
    </xf>
    <xf numFmtId="166" fontId="0" fillId="0" borderId="46" xfId="1" applyNumberFormat="1" applyFont="1" applyBorder="1"/>
    <xf numFmtId="166" fontId="0" fillId="0" borderId="46" xfId="1" applyNumberFormat="1" applyFont="1" applyBorder="1" applyAlignment="1">
      <alignment horizontal="center"/>
    </xf>
    <xf numFmtId="0" fontId="16" fillId="0" borderId="38" xfId="0" applyFont="1" applyBorder="1"/>
    <xf numFmtId="0" fontId="0" fillId="0" borderId="0" xfId="0" applyBorder="1" applyAlignment="1">
      <alignment horizontal="left" vertical="top"/>
    </xf>
    <xf numFmtId="166" fontId="0" fillId="0" borderId="38" xfId="0" applyNumberFormat="1" applyBorder="1"/>
    <xf numFmtId="0" fontId="0" fillId="0" borderId="52" xfId="0" applyBorder="1"/>
    <xf numFmtId="0" fontId="0" fillId="0" borderId="12" xfId="0" applyBorder="1" applyAlignment="1">
      <alignment horizontal="left"/>
    </xf>
    <xf numFmtId="0" fontId="0" fillId="0" borderId="12" xfId="0" applyBorder="1"/>
    <xf numFmtId="166" fontId="0" fillId="0" borderId="52" xfId="1" applyNumberFormat="1" applyFont="1" applyBorder="1"/>
    <xf numFmtId="166" fontId="0" fillId="0" borderId="51" xfId="1" applyNumberFormat="1" applyFont="1" applyBorder="1"/>
    <xf numFmtId="0" fontId="0" fillId="43" borderId="31" xfId="0" applyFill="1" applyBorder="1" applyAlignment="1">
      <alignment horizontal="center" vertical="top" wrapText="1"/>
    </xf>
    <xf numFmtId="0" fontId="0" fillId="36" borderId="35" xfId="0" applyFill="1" applyBorder="1" applyAlignment="1">
      <alignment horizontal="center" vertical="top" wrapText="1"/>
    </xf>
    <xf numFmtId="166" fontId="0" fillId="0" borderId="50" xfId="1" applyNumberFormat="1" applyFont="1" applyBorder="1"/>
    <xf numFmtId="0" fontId="21" fillId="36" borderId="19" xfId="0" applyFont="1" applyFill="1" applyBorder="1" applyAlignment="1">
      <alignment horizontal="center" vertical="center" wrapText="1"/>
    </xf>
    <xf numFmtId="166" fontId="21" fillId="41" borderId="23" xfId="1" applyNumberFormat="1" applyFont="1" applyFill="1" applyBorder="1" applyAlignment="1">
      <alignment horizontal="left" vertical="center"/>
    </xf>
    <xf numFmtId="166" fontId="0" fillId="41" borderId="23" xfId="1" applyNumberFormat="1" applyFont="1" applyFill="1" applyBorder="1" applyAlignment="1">
      <alignment horizontal="left" vertical="top"/>
    </xf>
    <xf numFmtId="0" fontId="16" fillId="44" borderId="11" xfId="0" applyFont="1" applyFill="1" applyBorder="1" applyAlignment="1">
      <alignment vertical="center"/>
    </xf>
    <xf numFmtId="0" fontId="16" fillId="44" borderId="12" xfId="0" applyFont="1" applyFill="1" applyBorder="1" applyAlignment="1">
      <alignment vertical="center" wrapText="1"/>
    </xf>
    <xf numFmtId="0" fontId="16" fillId="44" borderId="12" xfId="0" applyFont="1" applyFill="1" applyBorder="1" applyAlignment="1">
      <alignment horizontal="center" vertical="center" wrapText="1"/>
    </xf>
    <xf numFmtId="166" fontId="16" fillId="44" borderId="12" xfId="0" applyNumberFormat="1" applyFont="1" applyFill="1" applyBorder="1" applyAlignment="1">
      <alignment vertical="center" wrapText="1"/>
    </xf>
    <xf numFmtId="166" fontId="16" fillId="0" borderId="12" xfId="1" applyNumberFormat="1" applyFont="1" applyBorder="1" applyAlignment="1">
      <alignment horizontal="left" vertical="center"/>
    </xf>
    <xf numFmtId="0" fontId="16" fillId="44" borderId="10" xfId="0" applyFont="1" applyFill="1" applyBorder="1" applyAlignment="1">
      <alignment horizontal="center" vertical="center" wrapText="1"/>
    </xf>
    <xf numFmtId="166" fontId="16" fillId="44" borderId="10" xfId="1" applyNumberFormat="1" applyFont="1" applyFill="1" applyBorder="1" applyAlignment="1">
      <alignment vertical="center" wrapText="1"/>
    </xf>
    <xf numFmtId="0" fontId="16" fillId="44" borderId="11" xfId="0" applyFont="1" applyFill="1" applyBorder="1" applyAlignment="1">
      <alignment vertical="center" wrapText="1"/>
    </xf>
    <xf numFmtId="166" fontId="16" fillId="44" borderId="10" xfId="0" applyNumberFormat="1" applyFont="1" applyFill="1" applyBorder="1" applyAlignment="1">
      <alignment vertical="center" wrapText="1"/>
    </xf>
    <xf numFmtId="0" fontId="16" fillId="40" borderId="17" xfId="0" applyFont="1" applyFill="1" applyBorder="1" applyAlignment="1">
      <alignment horizontal="center" vertical="center"/>
    </xf>
    <xf numFmtId="0" fontId="16" fillId="40" borderId="17" xfId="0" applyFont="1" applyFill="1" applyBorder="1" applyAlignment="1">
      <alignment horizontal="center" vertical="center"/>
    </xf>
    <xf numFmtId="0" fontId="16" fillId="47"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0" fillId="0" borderId="0" xfId="0" applyAlignment="1">
      <alignment horizontal="center"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8" fillId="0" borderId="0" xfId="0" applyFont="1" applyAlignment="1">
      <alignment horizontal="center"/>
    </xf>
    <xf numFmtId="0" fontId="0" fillId="0" borderId="0" xfId="0" applyFont="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44" borderId="32" xfId="0" applyFont="1" applyFill="1" applyBorder="1" applyAlignment="1">
      <alignment horizontal="left" vertical="center" wrapText="1"/>
    </xf>
    <xf numFmtId="0" fontId="16" fillId="44" borderId="0" xfId="0" applyFont="1" applyFill="1" applyBorder="1" applyAlignment="1">
      <alignment horizontal="left" vertical="center" wrapText="1"/>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44" borderId="11" xfId="0" applyFont="1" applyFill="1" applyBorder="1" applyAlignment="1">
      <alignment horizontal="left" vertical="center" wrapText="1"/>
    </xf>
    <xf numFmtId="0" fontId="16" fillId="44" borderId="12" xfId="0" applyFont="1" applyFill="1" applyBorder="1" applyAlignment="1">
      <alignment horizontal="left" vertical="center" wrapText="1"/>
    </xf>
    <xf numFmtId="0" fontId="16" fillId="44" borderId="13" xfId="0" applyFont="1" applyFill="1" applyBorder="1" applyAlignment="1">
      <alignment horizontal="left" vertical="center" wrapText="1"/>
    </xf>
    <xf numFmtId="0" fontId="18" fillId="0" borderId="10" xfId="0" applyFont="1" applyBorder="1" applyAlignment="1">
      <alignment horizontal="center" vertical="center" wrapText="1"/>
    </xf>
    <xf numFmtId="0" fontId="21" fillId="36" borderId="15" xfId="0" applyFont="1" applyFill="1" applyBorder="1" applyAlignment="1">
      <alignment horizontal="center" vertical="center"/>
    </xf>
    <xf numFmtId="0" fontId="21" fillId="36" borderId="17" xfId="0" applyFont="1" applyFill="1" applyBorder="1" applyAlignment="1">
      <alignment horizontal="center" vertical="center"/>
    </xf>
    <xf numFmtId="0" fontId="16" fillId="40" borderId="15" xfId="0" applyFont="1" applyFill="1" applyBorder="1" applyAlignment="1">
      <alignment horizontal="center" vertical="center"/>
    </xf>
    <xf numFmtId="0" fontId="16" fillId="40" borderId="17" xfId="0" applyFont="1" applyFill="1" applyBorder="1" applyAlignment="1">
      <alignment horizontal="center" vertical="center"/>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44" borderId="12" xfId="0" applyFont="1" applyFill="1" applyBorder="1" applyAlignment="1">
      <alignment horizontal="right" vertical="center" wrapText="1"/>
    </xf>
    <xf numFmtId="0" fontId="16" fillId="41" borderId="11" xfId="0" applyFont="1" applyFill="1" applyBorder="1" applyAlignment="1">
      <alignment horizontal="right" vertical="center" wrapText="1"/>
    </xf>
    <xf numFmtId="0" fontId="16" fillId="41" borderId="12" xfId="0" applyFont="1" applyFill="1" applyBorder="1" applyAlignment="1">
      <alignment horizontal="right" vertical="center" wrapText="1"/>
    </xf>
    <xf numFmtId="0" fontId="16" fillId="41" borderId="13" xfId="0" applyFont="1" applyFill="1" applyBorder="1" applyAlignment="1">
      <alignment horizontal="right" vertical="center" wrapText="1"/>
    </xf>
    <xf numFmtId="0" fontId="16" fillId="0" borderId="11" xfId="0" applyFont="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6" fillId="44" borderId="26" xfId="0" applyFont="1" applyFill="1" applyBorder="1" applyAlignment="1">
      <alignment horizontal="left" vertical="center" wrapText="1"/>
    </xf>
    <xf numFmtId="0" fontId="16" fillId="44" borderId="28" xfId="0" applyFont="1" applyFill="1" applyBorder="1" applyAlignment="1">
      <alignment horizontal="left" vertical="center" wrapText="1"/>
    </xf>
    <xf numFmtId="0" fontId="16" fillId="44" borderId="47" xfId="0" applyFont="1" applyFill="1" applyBorder="1" applyAlignment="1">
      <alignment horizontal="left" vertical="center" wrapText="1"/>
    </xf>
    <xf numFmtId="166" fontId="22" fillId="36" borderId="23" xfId="1" applyNumberFormat="1" applyFont="1" applyFill="1" applyBorder="1" applyAlignment="1">
      <alignment horizontal="center" vertical="top" wrapText="1"/>
    </xf>
    <xf numFmtId="166" fontId="22" fillId="36" borderId="27" xfId="1" applyNumberFormat="1" applyFont="1" applyFill="1" applyBorder="1" applyAlignment="1">
      <alignment horizontal="center" vertical="top" wrapText="1"/>
    </xf>
    <xf numFmtId="166" fontId="22" fillId="36" borderId="24" xfId="1" applyNumberFormat="1" applyFont="1" applyFill="1" applyBorder="1" applyAlignment="1">
      <alignment horizontal="center" vertical="top" wrapText="1"/>
    </xf>
    <xf numFmtId="0" fontId="16" fillId="35" borderId="11" xfId="0" applyFont="1" applyFill="1" applyBorder="1" applyAlignment="1">
      <alignment horizontal="left"/>
    </xf>
    <xf numFmtId="0" fontId="16" fillId="35" borderId="12" xfId="0" applyFont="1" applyFill="1" applyBorder="1" applyAlignment="1">
      <alignment horizontal="left"/>
    </xf>
    <xf numFmtId="0" fontId="16" fillId="35" borderId="13" xfId="0" applyFont="1" applyFill="1" applyBorder="1" applyAlignment="1">
      <alignment horizontal="left"/>
    </xf>
    <xf numFmtId="0" fontId="16" fillId="41" borderId="14" xfId="0" applyFont="1" applyFill="1" applyBorder="1" applyAlignment="1">
      <alignment horizontal="left" vertical="center" wrapText="1"/>
    </xf>
    <xf numFmtId="0" fontId="16" fillId="41" borderId="11" xfId="0" applyFont="1" applyFill="1" applyBorder="1" applyAlignment="1">
      <alignment horizontal="left" vertical="center"/>
    </xf>
    <xf numFmtId="0" fontId="16" fillId="41" borderId="12" xfId="0" applyFont="1" applyFill="1" applyBorder="1" applyAlignment="1">
      <alignment horizontal="left" vertical="center"/>
    </xf>
    <xf numFmtId="0" fontId="16" fillId="41" borderId="13" xfId="0" applyFont="1" applyFill="1" applyBorder="1" applyAlignment="1">
      <alignment horizontal="left"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24" fillId="0" borderId="28" xfId="0" applyFont="1" applyBorder="1" applyAlignment="1">
      <alignment horizontal="center"/>
    </xf>
    <xf numFmtId="0" fontId="16" fillId="41" borderId="11" xfId="0" applyFont="1" applyFill="1" applyBorder="1" applyAlignment="1">
      <alignment horizontal="left" vertical="center" wrapText="1"/>
    </xf>
    <xf numFmtId="0" fontId="16" fillId="41" borderId="12" xfId="0" applyFont="1" applyFill="1" applyBorder="1" applyAlignment="1">
      <alignment horizontal="left" vertical="center" wrapText="1"/>
    </xf>
    <xf numFmtId="0" fontId="16" fillId="41" borderId="13" xfId="0" applyFont="1" applyFill="1" applyBorder="1" applyAlignment="1">
      <alignment horizontal="left" vertical="center" wrapText="1"/>
    </xf>
  </cellXfs>
  <cellStyles count="39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 Currency (0)" xfId="49"/>
    <cellStyle name="Calc Currency (2)" xfId="50"/>
    <cellStyle name="Calc Percent (0)" xfId="51"/>
    <cellStyle name="Calc Percent (1)" xfId="52"/>
    <cellStyle name="Calc Percent (2)" xfId="53"/>
    <cellStyle name="Calc Units (0)" xfId="54"/>
    <cellStyle name="Calc Units (1)" xfId="55"/>
    <cellStyle name="Calc Units (2)" xfId="56"/>
    <cellStyle name="Calculation" xfId="12" builtinId="22" customBuiltin="1"/>
    <cellStyle name="Check Cell" xfId="14" builtinId="23" customBuiltin="1"/>
    <cellStyle name="Comma" xfId="43" builtinId="3"/>
    <cellStyle name="Comma [00]" xfId="57"/>
    <cellStyle name="Comma 10" xfId="58"/>
    <cellStyle name="Comma 11" xfId="59"/>
    <cellStyle name="Comma 12" xfId="60"/>
    <cellStyle name="Comma 13" xfId="61"/>
    <cellStyle name="Comma 2" xfId="62"/>
    <cellStyle name="Comma 2 2" xfId="63"/>
    <cellStyle name="Comma 2 2 2" xfId="64"/>
    <cellStyle name="Comma 2 2 3" xfId="65"/>
    <cellStyle name="Comma 2 3" xfId="66"/>
    <cellStyle name="Comma 2 4" xfId="67"/>
    <cellStyle name="Comma 3" xfId="68"/>
    <cellStyle name="Comma 3 2" xfId="69"/>
    <cellStyle name="Comma 3 2 2" xfId="70"/>
    <cellStyle name="Comma 3 3" xfId="71"/>
    <cellStyle name="Comma 4" xfId="72"/>
    <cellStyle name="Comma 4 2" xfId="73"/>
    <cellStyle name="Comma 4 2 2" xfId="74"/>
    <cellStyle name="Comma 4 3" xfId="75"/>
    <cellStyle name="Comma 5" xfId="76"/>
    <cellStyle name="Comma 6" xfId="77"/>
    <cellStyle name="Comma 6 2" xfId="78"/>
    <cellStyle name="Comma 7" xfId="79"/>
    <cellStyle name="Comma 8" xfId="80"/>
    <cellStyle name="Comma 9" xfId="81"/>
    <cellStyle name="Currency" xfId="1" builtinId="4"/>
    <cellStyle name="Currency [00]" xfId="82"/>
    <cellStyle name="Currency 10" xfId="83"/>
    <cellStyle name="Currency 11" xfId="84"/>
    <cellStyle name="Currency 12" xfId="85"/>
    <cellStyle name="Currency 13" xfId="86"/>
    <cellStyle name="Currency 14" xfId="87"/>
    <cellStyle name="Currency 15" xfId="88"/>
    <cellStyle name="Currency 16" xfId="89"/>
    <cellStyle name="Currency 17" xfId="90"/>
    <cellStyle name="Currency 18" xfId="91"/>
    <cellStyle name="Currency 19" xfId="92"/>
    <cellStyle name="Currency 2" xfId="93"/>
    <cellStyle name="Currency 2 2" xfId="94"/>
    <cellStyle name="Currency 2 3" xfId="95"/>
    <cellStyle name="Currency 2 4" xfId="96"/>
    <cellStyle name="Currency 2 5" xfId="97"/>
    <cellStyle name="Currency 20" xfId="98"/>
    <cellStyle name="Currency 21" xfId="99"/>
    <cellStyle name="Currency 22" xfId="100"/>
    <cellStyle name="Currency 23" xfId="101"/>
    <cellStyle name="Currency 3" xfId="102"/>
    <cellStyle name="Currency 3 2" xfId="103"/>
    <cellStyle name="Currency 3 3" xfId="104"/>
    <cellStyle name="Currency 3 4" xfId="105"/>
    <cellStyle name="Currency 4" xfId="46"/>
    <cellStyle name="Currency 4 2" xfId="106"/>
    <cellStyle name="Currency 4 3" xfId="107"/>
    <cellStyle name="Currency 5" xfId="108"/>
    <cellStyle name="Currency 6" xfId="109"/>
    <cellStyle name="Currency 7" xfId="110"/>
    <cellStyle name="Currency 8" xfId="111"/>
    <cellStyle name="Currency 9" xfId="112"/>
    <cellStyle name="Date Short" xfId="113"/>
    <cellStyle name="Enter Currency (0)" xfId="114"/>
    <cellStyle name="Enter Currency (2)" xfId="115"/>
    <cellStyle name="Enter Units (0)" xfId="116"/>
    <cellStyle name="Enter Units (1)" xfId="117"/>
    <cellStyle name="Enter Units (2)" xfId="118"/>
    <cellStyle name="Euro" xfId="119"/>
    <cellStyle name="Euro 2" xfId="120"/>
    <cellStyle name="Explanatory Text" xfId="17" builtinId="53" customBuiltin="1"/>
    <cellStyle name="Good" xfId="7" builtinId="26" customBuiltin="1"/>
    <cellStyle name="Good 2" xfId="121"/>
    <cellStyle name="Header1" xfId="122"/>
    <cellStyle name="Header2" xfId="123"/>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 Currency (0)" xfId="124"/>
    <cellStyle name="Link Currency (2)" xfId="125"/>
    <cellStyle name="Link Units (0)" xfId="126"/>
    <cellStyle name="Link Units (1)" xfId="127"/>
    <cellStyle name="Link Units (2)" xfId="128"/>
    <cellStyle name="Linked Cell" xfId="13" builtinId="24" customBuiltin="1"/>
    <cellStyle name="Neutral" xfId="9" builtinId="28" customBuiltin="1"/>
    <cellStyle name="Neutral 2" xfId="129"/>
    <cellStyle name="Normal" xfId="0" builtinId="0"/>
    <cellStyle name="Normal 10" xfId="130"/>
    <cellStyle name="Normal 100" xfId="131"/>
    <cellStyle name="Normal 101" xfId="132"/>
    <cellStyle name="Normal 102" xfId="133"/>
    <cellStyle name="Normal 103" xfId="134"/>
    <cellStyle name="Normal 104" xfId="135"/>
    <cellStyle name="Normal 105" xfId="136"/>
    <cellStyle name="Normal 106" xfId="137"/>
    <cellStyle name="Normal 107" xfId="138"/>
    <cellStyle name="Normal 108" xfId="139"/>
    <cellStyle name="Normal 109" xfId="140"/>
    <cellStyle name="Normal 11" xfId="141"/>
    <cellStyle name="Normal 110" xfId="142"/>
    <cellStyle name="Normal 111" xfId="143"/>
    <cellStyle name="Normal 112" xfId="144"/>
    <cellStyle name="Normal 113" xfId="145"/>
    <cellStyle name="Normal 114" xfId="146"/>
    <cellStyle name="Normal 115" xfId="147"/>
    <cellStyle name="Normal 116" xfId="148"/>
    <cellStyle name="Normal 117" xfId="149"/>
    <cellStyle name="Normal 118" xfId="150"/>
    <cellStyle name="Normal 119" xfId="151"/>
    <cellStyle name="Normal 12" xfId="152"/>
    <cellStyle name="Normal 120" xfId="153"/>
    <cellStyle name="Normal 121" xfId="154"/>
    <cellStyle name="Normal 122" xfId="155"/>
    <cellStyle name="Normal 123" xfId="156"/>
    <cellStyle name="Normal 124" xfId="157"/>
    <cellStyle name="Normal 125" xfId="158"/>
    <cellStyle name="Normal 126" xfId="159"/>
    <cellStyle name="Normal 127" xfId="160"/>
    <cellStyle name="Normal 128" xfId="161"/>
    <cellStyle name="Normal 129" xfId="162"/>
    <cellStyle name="Normal 13" xfId="163"/>
    <cellStyle name="Normal 130" xfId="164"/>
    <cellStyle name="Normal 131" xfId="165"/>
    <cellStyle name="Normal 132" xfId="166"/>
    <cellStyle name="Normal 133" xfId="167"/>
    <cellStyle name="Normal 134" xfId="168"/>
    <cellStyle name="Normal 135" xfId="169"/>
    <cellStyle name="Normal 136" xfId="170"/>
    <cellStyle name="Normal 137" xfId="171"/>
    <cellStyle name="Normal 138" xfId="172"/>
    <cellStyle name="Normal 139" xfId="173"/>
    <cellStyle name="Normal 14" xfId="174"/>
    <cellStyle name="Normal 140" xfId="175"/>
    <cellStyle name="Normal 141" xfId="176"/>
    <cellStyle name="Normal 142" xfId="177"/>
    <cellStyle name="Normal 143" xfId="178"/>
    <cellStyle name="Normal 144" xfId="179"/>
    <cellStyle name="Normal 145" xfId="180"/>
    <cellStyle name="Normal 146" xfId="181"/>
    <cellStyle name="Normal 147" xfId="182"/>
    <cellStyle name="Normal 148" xfId="183"/>
    <cellStyle name="Normal 149" xfId="184"/>
    <cellStyle name="Normal 15" xfId="185"/>
    <cellStyle name="Normal 150" xfId="186"/>
    <cellStyle name="Normal 151" xfId="187"/>
    <cellStyle name="Normal 152" xfId="188"/>
    <cellStyle name="Normal 153" xfId="189"/>
    <cellStyle name="Normal 154" xfId="190"/>
    <cellStyle name="Normal 155" xfId="191"/>
    <cellStyle name="Normal 156" xfId="192"/>
    <cellStyle name="Normal 157" xfId="193"/>
    <cellStyle name="Normal 158" xfId="194"/>
    <cellStyle name="Normal 159" xfId="195"/>
    <cellStyle name="Normal 16" xfId="196"/>
    <cellStyle name="Normal 160" xfId="197"/>
    <cellStyle name="Normal 161" xfId="198"/>
    <cellStyle name="Normal 162" xfId="199"/>
    <cellStyle name="Normal 163" xfId="200"/>
    <cellStyle name="Normal 164" xfId="201"/>
    <cellStyle name="Normal 165" xfId="202"/>
    <cellStyle name="Normal 166" xfId="203"/>
    <cellStyle name="Normal 167" xfId="204"/>
    <cellStyle name="Normal 168" xfId="205"/>
    <cellStyle name="Normal 169" xfId="206"/>
    <cellStyle name="Normal 17" xfId="207"/>
    <cellStyle name="Normal 170" xfId="208"/>
    <cellStyle name="Normal 171" xfId="209"/>
    <cellStyle name="Normal 172" xfId="210"/>
    <cellStyle name="Normal 173" xfId="211"/>
    <cellStyle name="Normal 174" xfId="212"/>
    <cellStyle name="Normal 175" xfId="213"/>
    <cellStyle name="Normal 176" xfId="214"/>
    <cellStyle name="Normal 177" xfId="215"/>
    <cellStyle name="Normal 178" xfId="216"/>
    <cellStyle name="Normal 179" xfId="217"/>
    <cellStyle name="Normal 18" xfId="218"/>
    <cellStyle name="Normal 180" xfId="219"/>
    <cellStyle name="Normal 181" xfId="220"/>
    <cellStyle name="Normal 181 2" xfId="221"/>
    <cellStyle name="Normal 181 2 2" xfId="222"/>
    <cellStyle name="Normal 181 3" xfId="223"/>
    <cellStyle name="Normal 182" xfId="224"/>
    <cellStyle name="Normal 182 2" xfId="225"/>
    <cellStyle name="Normal 182 2 2" xfId="226"/>
    <cellStyle name="Normal 182 3" xfId="227"/>
    <cellStyle name="Normal 182 4" xfId="228"/>
    <cellStyle name="Normal 183" xfId="229"/>
    <cellStyle name="Normal 183 2" xfId="230"/>
    <cellStyle name="Normal 183 2 2" xfId="231"/>
    <cellStyle name="Normal 183 3" xfId="232"/>
    <cellStyle name="Normal 184" xfId="233"/>
    <cellStyle name="Normal 185" xfId="234"/>
    <cellStyle name="Normal 185 2" xfId="235"/>
    <cellStyle name="Normal 186" xfId="236"/>
    <cellStyle name="Normal 186 2" xfId="237"/>
    <cellStyle name="Normal 187" xfId="238"/>
    <cellStyle name="Normal 188" xfId="239"/>
    <cellStyle name="Normal 189" xfId="240"/>
    <cellStyle name="Normal 19" xfId="241"/>
    <cellStyle name="Normal 190" xfId="242"/>
    <cellStyle name="Normal 191" xfId="243"/>
    <cellStyle name="Normal 192" xfId="244"/>
    <cellStyle name="Normal 193" xfId="245"/>
    <cellStyle name="Normal 194" xfId="246"/>
    <cellStyle name="Normal 195" xfId="247"/>
    <cellStyle name="Normal 2" xfId="248"/>
    <cellStyle name="Normal 2 2" xfId="249"/>
    <cellStyle name="Normal 2 2 2" xfId="250"/>
    <cellStyle name="Normal 2 2 3" xfId="251"/>
    <cellStyle name="Normal 2 3" xfId="252"/>
    <cellStyle name="Normal 2 3 2" xfId="253"/>
    <cellStyle name="Normal 2 3 2 2" xfId="254"/>
    <cellStyle name="Normal 2 3 3" xfId="255"/>
    <cellStyle name="Normal 2 3 4" xfId="256"/>
    <cellStyle name="Normal 2 3 5" xfId="257"/>
    <cellStyle name="Normal 2 4" xfId="258"/>
    <cellStyle name="Normal 2 5" xfId="259"/>
    <cellStyle name="Normal 2 5 2" xfId="260"/>
    <cellStyle name="Normal 2 6" xfId="261"/>
    <cellStyle name="Normal 2 7" xfId="262"/>
    <cellStyle name="Normal 2 7 2" xfId="263"/>
    <cellStyle name="Normal 2 8" xfId="264"/>
    <cellStyle name="Normal 2 9" xfId="265"/>
    <cellStyle name="Normal 20" xfId="266"/>
    <cellStyle name="Normal 20 2" xfId="267"/>
    <cellStyle name="Normal 20 2 2" xfId="268"/>
    <cellStyle name="Normal 20 3" xfId="269"/>
    <cellStyle name="Normal 21" xfId="270"/>
    <cellStyle name="Normal 22" xfId="271"/>
    <cellStyle name="Normal 23" xfId="272"/>
    <cellStyle name="Normal 24" xfId="273"/>
    <cellStyle name="Normal 25" xfId="274"/>
    <cellStyle name="Normal 26" xfId="275"/>
    <cellStyle name="Normal 27" xfId="276"/>
    <cellStyle name="Normal 28" xfId="277"/>
    <cellStyle name="Normal 29" xfId="278"/>
    <cellStyle name="Normal 3" xfId="45"/>
    <cellStyle name="Normal 3 2" xfId="279"/>
    <cellStyle name="Normal 30" xfId="280"/>
    <cellStyle name="Normal 31" xfId="281"/>
    <cellStyle name="Normal 32" xfId="282"/>
    <cellStyle name="Normal 33" xfId="283"/>
    <cellStyle name="Normal 34" xfId="284"/>
    <cellStyle name="Normal 35" xfId="285"/>
    <cellStyle name="Normal 36" xfId="286"/>
    <cellStyle name="Normal 36 2" xfId="287"/>
    <cellStyle name="Normal 36 2 2" xfId="288"/>
    <cellStyle name="Normal 36 3" xfId="289"/>
    <cellStyle name="Normal 37" xfId="290"/>
    <cellStyle name="Normal 38" xfId="291"/>
    <cellStyle name="Normal 39" xfId="292"/>
    <cellStyle name="Normal 4" xfId="293"/>
    <cellStyle name="Normal 40" xfId="294"/>
    <cellStyle name="Normal 41" xfId="295"/>
    <cellStyle name="Normal 42" xfId="296"/>
    <cellStyle name="Normal 43" xfId="297"/>
    <cellStyle name="Normal 44" xfId="298"/>
    <cellStyle name="Normal 45" xfId="299"/>
    <cellStyle name="Normal 46" xfId="300"/>
    <cellStyle name="Normal 47" xfId="301"/>
    <cellStyle name="Normal 48" xfId="302"/>
    <cellStyle name="Normal 49" xfId="303"/>
    <cellStyle name="Normal 5" xfId="304"/>
    <cellStyle name="Normal 50" xfId="305"/>
    <cellStyle name="Normal 51" xfId="306"/>
    <cellStyle name="Normal 52" xfId="307"/>
    <cellStyle name="Normal 53" xfId="308"/>
    <cellStyle name="Normal 54" xfId="309"/>
    <cellStyle name="Normal 55" xfId="310"/>
    <cellStyle name="Normal 56" xfId="311"/>
    <cellStyle name="Normal 57" xfId="312"/>
    <cellStyle name="Normal 58" xfId="313"/>
    <cellStyle name="Normal 59" xfId="314"/>
    <cellStyle name="Normal 6" xfId="315"/>
    <cellStyle name="Normal 60" xfId="316"/>
    <cellStyle name="Normal 61" xfId="317"/>
    <cellStyle name="Normal 62" xfId="318"/>
    <cellStyle name="Normal 63" xfId="319"/>
    <cellStyle name="Normal 64" xfId="320"/>
    <cellStyle name="Normal 65" xfId="321"/>
    <cellStyle name="Normal 66" xfId="322"/>
    <cellStyle name="Normal 67" xfId="323"/>
    <cellStyle name="Normal 68" xfId="324"/>
    <cellStyle name="Normal 69" xfId="325"/>
    <cellStyle name="Normal 7" xfId="326"/>
    <cellStyle name="Normal 70" xfId="327"/>
    <cellStyle name="Normal 71" xfId="328"/>
    <cellStyle name="Normal 72" xfId="329"/>
    <cellStyle name="Normal 73" xfId="330"/>
    <cellStyle name="Normal 74" xfId="331"/>
    <cellStyle name="Normal 75" xfId="332"/>
    <cellStyle name="Normal 76" xfId="333"/>
    <cellStyle name="Normal 77" xfId="334"/>
    <cellStyle name="Normal 78" xfId="335"/>
    <cellStyle name="Normal 79" xfId="336"/>
    <cellStyle name="Normal 8" xfId="337"/>
    <cellStyle name="Normal 80" xfId="338"/>
    <cellStyle name="Normal 81" xfId="339"/>
    <cellStyle name="Normal 82" xfId="340"/>
    <cellStyle name="Normal 83" xfId="341"/>
    <cellStyle name="Normal 84" xfId="342"/>
    <cellStyle name="Normal 85" xfId="343"/>
    <cellStyle name="Normal 86" xfId="344"/>
    <cellStyle name="Normal 87" xfId="345"/>
    <cellStyle name="Normal 88" xfId="346"/>
    <cellStyle name="Normal 89" xfId="347"/>
    <cellStyle name="Normal 9" xfId="348"/>
    <cellStyle name="Normal 90" xfId="349"/>
    <cellStyle name="Normal 91" xfId="350"/>
    <cellStyle name="Normal 92" xfId="351"/>
    <cellStyle name="Normal 93" xfId="352"/>
    <cellStyle name="Normal 94" xfId="353"/>
    <cellStyle name="Normal 95" xfId="354"/>
    <cellStyle name="Normal 96" xfId="355"/>
    <cellStyle name="Normal 97" xfId="356"/>
    <cellStyle name="Normal 98" xfId="357"/>
    <cellStyle name="Normal 99" xfId="358"/>
    <cellStyle name="Note" xfId="16" builtinId="10" customBuiltin="1"/>
    <cellStyle name="Note 2" xfId="359"/>
    <cellStyle name="Output" xfId="11" builtinId="21" customBuiltin="1"/>
    <cellStyle name="Percent" xfId="44" builtinId="5"/>
    <cellStyle name="Percent [0]" xfId="360"/>
    <cellStyle name="Percent [00]" xfId="361"/>
    <cellStyle name="Percent 10" xfId="362"/>
    <cellStyle name="Percent 11" xfId="363"/>
    <cellStyle name="Percent 12" xfId="364"/>
    <cellStyle name="Percent 13" xfId="365"/>
    <cellStyle name="Percent 14" xfId="366"/>
    <cellStyle name="Percent 15" xfId="367"/>
    <cellStyle name="Percent 16" xfId="48"/>
    <cellStyle name="Percent 17" xfId="368"/>
    <cellStyle name="Percent 18" xfId="369"/>
    <cellStyle name="Percent 19" xfId="370"/>
    <cellStyle name="Percent 2" xfId="47"/>
    <cellStyle name="Percent 2 2" xfId="371"/>
    <cellStyle name="Percent 2 3" xfId="372"/>
    <cellStyle name="Percent 2 4" xfId="373"/>
    <cellStyle name="Percent 20" xfId="374"/>
    <cellStyle name="Percent 21" xfId="375"/>
    <cellStyle name="Percent 3" xfId="376"/>
    <cellStyle name="Percent 4" xfId="377"/>
    <cellStyle name="Percent 4 2" xfId="378"/>
    <cellStyle name="Percent 5" xfId="379"/>
    <cellStyle name="Percent 6" xfId="380"/>
    <cellStyle name="Percent 7" xfId="381"/>
    <cellStyle name="Percent 8" xfId="382"/>
    <cellStyle name="Percent 9" xfId="383"/>
    <cellStyle name="PrePop Currency (0)" xfId="384"/>
    <cellStyle name="PrePop Currency (2)" xfId="385"/>
    <cellStyle name="PrePop Units (0)" xfId="386"/>
    <cellStyle name="PrePop Units (1)" xfId="387"/>
    <cellStyle name="PrePop Units (2)" xfId="388"/>
    <cellStyle name="PSChar" xfId="389"/>
    <cellStyle name="PSDate" xfId="390"/>
    <cellStyle name="PSDec" xfId="391"/>
    <cellStyle name="PSHeading" xfId="392"/>
    <cellStyle name="PSInt" xfId="393"/>
    <cellStyle name="PSSpacer" xfId="394"/>
    <cellStyle name="Text Indent A" xfId="395"/>
    <cellStyle name="Text Indent B" xfId="396"/>
    <cellStyle name="Text Indent C" xfId="397"/>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4.9989318521683403E-2"/>
    <pageSetUpPr fitToPage="1"/>
  </sheetPr>
  <dimension ref="A1:Q65"/>
  <sheetViews>
    <sheetView showWhiteSpace="0" view="pageLayout" zoomScale="110" zoomScaleNormal="110" zoomScalePageLayoutView="110" workbookViewId="0">
      <selection activeCell="A26" sqref="A26"/>
    </sheetView>
  </sheetViews>
  <sheetFormatPr baseColWidth="10" defaultColWidth="8.83203125" defaultRowHeight="15" x14ac:dyDescent="0.2"/>
  <cols>
    <col min="1" max="1" width="8.83203125" style="32"/>
    <col min="2" max="2" width="13.6640625" style="32" customWidth="1"/>
    <col min="3" max="3" width="13.83203125" style="32" customWidth="1"/>
    <col min="4" max="4" width="12" style="32" bestFit="1" customWidth="1"/>
    <col min="5" max="5" width="13" style="32" customWidth="1"/>
    <col min="6" max="6" width="12.5" style="32" bestFit="1" customWidth="1"/>
    <col min="7" max="7" width="11.83203125" style="32" customWidth="1"/>
    <col min="8" max="8" width="15.1640625" style="32" customWidth="1"/>
    <col min="9" max="9" width="14.83203125" style="32" customWidth="1"/>
    <col min="10" max="10" width="16.1640625" style="32" customWidth="1"/>
    <col min="11" max="11" width="16.6640625" style="32" customWidth="1"/>
    <col min="12" max="16384" width="8.83203125" style="32"/>
  </cols>
  <sheetData>
    <row r="1" spans="1:17" ht="19" x14ac:dyDescent="0.2">
      <c r="A1" s="268" t="s">
        <v>786</v>
      </c>
      <c r="B1" s="34"/>
      <c r="C1" s="35"/>
      <c r="D1" s="34"/>
      <c r="E1" s="34"/>
      <c r="F1" s="34"/>
      <c r="G1" s="34"/>
      <c r="H1" s="34"/>
      <c r="I1" s="269"/>
      <c r="J1" s="369" t="s">
        <v>805</v>
      </c>
      <c r="K1" s="369"/>
      <c r="L1" s="35"/>
      <c r="M1" s="36"/>
      <c r="N1" s="35"/>
      <c r="O1" s="36"/>
      <c r="P1" s="270"/>
      <c r="Q1" s="271"/>
    </row>
    <row r="2" spans="1:17" ht="19" x14ac:dyDescent="0.2">
      <c r="A2" s="268" t="s">
        <v>804</v>
      </c>
      <c r="B2" s="34"/>
      <c r="C2" s="35"/>
      <c r="D2" s="34"/>
      <c r="E2" s="34"/>
      <c r="F2" s="34"/>
      <c r="G2" s="34"/>
      <c r="H2" s="34"/>
      <c r="I2" s="269"/>
      <c r="J2" s="34"/>
      <c r="K2" s="35"/>
      <c r="L2" s="35"/>
      <c r="M2" s="36"/>
      <c r="N2" s="35"/>
      <c r="O2" s="36"/>
      <c r="P2" s="270"/>
      <c r="Q2" s="271"/>
    </row>
    <row r="3" spans="1:17" ht="7.5" customHeight="1" x14ac:dyDescent="0.2">
      <c r="A3" s="272"/>
      <c r="B3" s="34"/>
      <c r="C3" s="35"/>
      <c r="D3" s="34"/>
      <c r="E3" s="34"/>
      <c r="F3" s="34"/>
      <c r="G3" s="34"/>
      <c r="H3" s="34"/>
      <c r="I3" s="269"/>
      <c r="J3" s="34"/>
      <c r="K3" s="35"/>
      <c r="L3" s="35"/>
      <c r="M3" s="36"/>
      <c r="N3" s="35"/>
      <c r="O3" s="36"/>
      <c r="P3" s="270"/>
      <c r="Q3" s="271"/>
    </row>
    <row r="4" spans="1:17" ht="21.75" customHeight="1" thickBot="1" x14ac:dyDescent="0.25">
      <c r="A4" s="299" t="s">
        <v>578</v>
      </c>
      <c r="B4" s="34"/>
      <c r="C4" s="35"/>
      <c r="D4" s="34"/>
      <c r="E4" s="34"/>
      <c r="F4" s="34"/>
      <c r="G4" s="34"/>
      <c r="H4" s="34"/>
      <c r="I4" s="269"/>
      <c r="J4" s="34"/>
      <c r="K4" s="34"/>
      <c r="L4" s="35"/>
      <c r="M4" s="36"/>
      <c r="N4" s="35"/>
      <c r="O4" s="36"/>
      <c r="P4" s="270"/>
      <c r="Q4" s="271"/>
    </row>
    <row r="5" spans="1:17" ht="45" x14ac:dyDescent="0.2">
      <c r="A5" s="273"/>
      <c r="B5" s="274"/>
      <c r="C5" s="275"/>
      <c r="D5" s="276"/>
      <c r="E5" s="276"/>
      <c r="F5" s="276"/>
      <c r="G5" s="276"/>
      <c r="H5" s="277" t="s">
        <v>787</v>
      </c>
      <c r="I5" s="278" t="s">
        <v>788</v>
      </c>
      <c r="J5" s="279" t="s">
        <v>789</v>
      </c>
      <c r="K5" s="280" t="s">
        <v>790</v>
      </c>
      <c r="L5" s="35"/>
      <c r="M5" s="36"/>
      <c r="N5" s="35"/>
      <c r="O5" s="36"/>
      <c r="P5" s="270"/>
      <c r="Q5" s="271"/>
    </row>
    <row r="6" spans="1:17" x14ac:dyDescent="0.2">
      <c r="A6" s="281"/>
      <c r="B6" s="282" t="s">
        <v>579</v>
      </c>
      <c r="C6" s="43"/>
      <c r="D6" s="283"/>
      <c r="E6" s="283"/>
      <c r="F6" s="42"/>
      <c r="G6" s="42"/>
      <c r="H6" s="284">
        <f>'ALL BUDGET REQUESTS'!P42</f>
        <v>930939</v>
      </c>
      <c r="I6" s="285">
        <f>'ALL BUDGET REQUESTS'!R42</f>
        <v>566672</v>
      </c>
      <c r="J6" s="285">
        <f>I6</f>
        <v>566672</v>
      </c>
      <c r="K6" s="285">
        <f>'ALL BUDGET REQUESTS'!T42</f>
        <v>566672</v>
      </c>
      <c r="L6" s="35"/>
      <c r="M6" s="36"/>
      <c r="N6" s="35"/>
      <c r="O6" s="36"/>
      <c r="P6" s="270"/>
      <c r="Q6" s="271"/>
    </row>
    <row r="7" spans="1:17" x14ac:dyDescent="0.2">
      <c r="A7" s="41"/>
      <c r="B7" s="286" t="s">
        <v>580</v>
      </c>
      <c r="C7" s="211"/>
      <c r="D7" s="283"/>
      <c r="E7" s="283"/>
      <c r="F7" s="211"/>
      <c r="G7" s="211"/>
      <c r="H7" s="284">
        <f>'ALL BUDGET REQUESTS'!P62</f>
        <v>678712</v>
      </c>
      <c r="I7" s="285">
        <f>'ALL BUDGET REQUESTS'!R62</f>
        <v>182573</v>
      </c>
      <c r="J7" s="285">
        <f>I7</f>
        <v>182573</v>
      </c>
      <c r="K7" s="285">
        <f>'ALL BUDGET REQUESTS'!T62</f>
        <v>182573</v>
      </c>
    </row>
    <row r="8" spans="1:17" x14ac:dyDescent="0.2">
      <c r="A8" s="41"/>
      <c r="B8" s="286" t="s">
        <v>581</v>
      </c>
      <c r="C8" s="211"/>
      <c r="D8" s="283"/>
      <c r="E8" s="283"/>
      <c r="F8" s="211"/>
      <c r="G8" s="211"/>
      <c r="H8" s="284">
        <f>'ALL BUDGET REQUESTS'!P72</f>
        <v>223506</v>
      </c>
      <c r="I8" s="285">
        <f>'ALL BUDGET REQUESTS'!R72</f>
        <v>87280</v>
      </c>
      <c r="J8" s="285">
        <f>I8</f>
        <v>87280</v>
      </c>
      <c r="K8" s="285">
        <f>'ALL BUDGET REQUESTS'!T72</f>
        <v>87280</v>
      </c>
    </row>
    <row r="9" spans="1:17" x14ac:dyDescent="0.2">
      <c r="A9" s="41"/>
      <c r="B9" s="286" t="s">
        <v>761</v>
      </c>
      <c r="C9" s="211"/>
      <c r="D9" s="283"/>
      <c r="E9" s="283"/>
      <c r="F9" s="211"/>
      <c r="G9" s="211"/>
      <c r="H9" s="284">
        <f>'ALL BUDGET REQUESTS'!P78</f>
        <v>294028</v>
      </c>
      <c r="I9" s="285">
        <f>'ALL BUDGET REQUESTS'!R78</f>
        <v>98120</v>
      </c>
      <c r="J9" s="285">
        <f>I9</f>
        <v>98120</v>
      </c>
      <c r="K9" s="285">
        <f>'ALL BUDGET REQUESTS'!T78</f>
        <v>98120</v>
      </c>
      <c r="M9" s="285"/>
    </row>
    <row r="10" spans="1:17" x14ac:dyDescent="0.2">
      <c r="A10" s="41"/>
      <c r="B10" s="286" t="s">
        <v>791</v>
      </c>
      <c r="C10" s="211"/>
      <c r="D10" s="283"/>
      <c r="E10" s="283"/>
      <c r="F10" s="211"/>
      <c r="G10" s="211"/>
      <c r="H10" s="284">
        <f>'ALL BUDGET REQUESTS'!P92</f>
        <v>104540</v>
      </c>
      <c r="I10" s="285">
        <f>'ALL BUDGET REQUESTS'!R92</f>
        <v>65355</v>
      </c>
      <c r="J10" s="285">
        <f>I10</f>
        <v>65355</v>
      </c>
      <c r="K10" s="285">
        <f>'ALL BUDGET REQUESTS'!T92</f>
        <v>65355</v>
      </c>
    </row>
    <row r="11" spans="1:17" ht="19.5" customHeight="1" x14ac:dyDescent="0.2">
      <c r="A11" s="287"/>
      <c r="B11" s="288" t="s">
        <v>787</v>
      </c>
      <c r="C11" s="289"/>
      <c r="D11" s="290"/>
      <c r="E11" s="290"/>
      <c r="F11" s="290"/>
      <c r="G11" s="290"/>
      <c r="H11" s="291">
        <f>SUM(H6:H10)</f>
        <v>2231725</v>
      </c>
      <c r="I11" s="292">
        <f>SUM(I6:I10)</f>
        <v>1000000</v>
      </c>
      <c r="J11" s="292">
        <f>SUM(J6:J10)</f>
        <v>1000000</v>
      </c>
      <c r="K11" s="292">
        <f>SUM(K6:K10)</f>
        <v>1000000</v>
      </c>
    </row>
    <row r="12" spans="1:17" ht="10.5" customHeight="1" thickBot="1" x14ac:dyDescent="0.25">
      <c r="A12" s="293"/>
      <c r="B12" s="294"/>
      <c r="C12" s="295"/>
      <c r="D12" s="296"/>
      <c r="E12" s="296"/>
      <c r="F12" s="296"/>
      <c r="G12" s="296"/>
      <c r="H12" s="297"/>
      <c r="I12" s="298"/>
      <c r="J12" s="298"/>
      <c r="K12" s="298"/>
    </row>
    <row r="13" spans="1:17" ht="9.75" customHeight="1" x14ac:dyDescent="0.2">
      <c r="I13" s="171"/>
    </row>
    <row r="14" spans="1:17" ht="18" customHeight="1" thickBot="1" x14ac:dyDescent="0.25">
      <c r="A14" s="299" t="s">
        <v>792</v>
      </c>
      <c r="B14" s="34"/>
      <c r="C14" s="35"/>
      <c r="D14" s="34"/>
      <c r="E14" s="34"/>
      <c r="F14" s="34"/>
      <c r="G14" s="34"/>
      <c r="H14" s="34"/>
      <c r="I14" s="300"/>
      <c r="J14" s="34"/>
      <c r="K14" s="35"/>
      <c r="L14" s="35"/>
      <c r="M14" s="36"/>
      <c r="N14" s="35"/>
      <c r="O14" s="36"/>
      <c r="P14" s="270"/>
      <c r="Q14" s="271"/>
    </row>
    <row r="15" spans="1:17" ht="49.5" customHeight="1" x14ac:dyDescent="0.2">
      <c r="A15" s="273"/>
      <c r="B15" s="274"/>
      <c r="C15" s="275"/>
      <c r="D15" s="276"/>
      <c r="E15" s="276" t="s">
        <v>121</v>
      </c>
      <c r="F15" s="276" t="s">
        <v>673</v>
      </c>
      <c r="G15" s="276" t="s">
        <v>797</v>
      </c>
      <c r="H15" s="301" t="s">
        <v>793</v>
      </c>
      <c r="I15" s="278" t="s">
        <v>788</v>
      </c>
      <c r="J15" s="279" t="s">
        <v>789</v>
      </c>
      <c r="K15" s="280" t="s">
        <v>790</v>
      </c>
      <c r="L15" s="35"/>
      <c r="M15" s="36"/>
      <c r="N15" s="35"/>
      <c r="O15" s="36"/>
      <c r="P15" s="270"/>
      <c r="Q15" s="271"/>
    </row>
    <row r="16" spans="1:17" x14ac:dyDescent="0.2">
      <c r="A16" s="281"/>
      <c r="B16" s="282" t="s">
        <v>579</v>
      </c>
      <c r="C16" s="43"/>
      <c r="D16" s="283"/>
      <c r="E16" s="283">
        <v>0</v>
      </c>
      <c r="F16" s="283">
        <f>CAPITAL!P47</f>
        <v>549569</v>
      </c>
      <c r="G16" s="283">
        <f>CAPITAL!P54-30000</f>
        <v>52036</v>
      </c>
      <c r="H16" s="302">
        <f>SUM(D16:G16)</f>
        <v>601605</v>
      </c>
      <c r="I16" s="285">
        <f>CAPITAL!R47+CAPITAL!R54-30000</f>
        <v>464008</v>
      </c>
      <c r="J16" s="285">
        <f>I16</f>
        <v>464008</v>
      </c>
      <c r="K16" s="285"/>
      <c r="L16" s="35"/>
      <c r="M16" s="36"/>
      <c r="N16" s="35"/>
      <c r="O16" s="36"/>
      <c r="P16" s="270"/>
      <c r="Q16" s="271"/>
    </row>
    <row r="17" spans="1:17" x14ac:dyDescent="0.2">
      <c r="A17" s="41"/>
      <c r="B17" s="286" t="s">
        <v>580</v>
      </c>
      <c r="C17" s="211"/>
      <c r="D17" s="303"/>
      <c r="E17" s="303">
        <v>0</v>
      </c>
      <c r="F17" s="303">
        <v>0</v>
      </c>
      <c r="G17" s="303">
        <v>0</v>
      </c>
      <c r="H17" s="302">
        <f t="shared" ref="H17:H20" si="0">SUM(D17:G17)</f>
        <v>0</v>
      </c>
      <c r="I17" s="285">
        <v>0</v>
      </c>
      <c r="J17" s="285">
        <f>I17</f>
        <v>0</v>
      </c>
      <c r="K17" s="285"/>
    </row>
    <row r="18" spans="1:17" x14ac:dyDescent="0.2">
      <c r="A18" s="41"/>
      <c r="B18" s="286" t="s">
        <v>581</v>
      </c>
      <c r="C18" s="211"/>
      <c r="D18" s="303"/>
      <c r="E18" s="303">
        <v>0</v>
      </c>
      <c r="F18" s="303">
        <v>0</v>
      </c>
      <c r="G18" s="303">
        <v>30000</v>
      </c>
      <c r="H18" s="302">
        <f t="shared" si="0"/>
        <v>30000</v>
      </c>
      <c r="I18" s="285">
        <v>30000</v>
      </c>
      <c r="J18" s="285">
        <f>I18</f>
        <v>30000</v>
      </c>
      <c r="K18" s="285"/>
    </row>
    <row r="19" spans="1:17" x14ac:dyDescent="0.2">
      <c r="A19" s="41"/>
      <c r="B19" s="286" t="s">
        <v>761</v>
      </c>
      <c r="C19" s="211"/>
      <c r="D19" s="303"/>
      <c r="E19" s="303">
        <f>'ALL BUDGET REQUESTS'!P133-' Summary'!E16</f>
        <v>1703180</v>
      </c>
      <c r="F19" s="303">
        <v>0</v>
      </c>
      <c r="G19" s="303">
        <v>0</v>
      </c>
      <c r="H19" s="302">
        <f t="shared" si="0"/>
        <v>1703180</v>
      </c>
      <c r="I19" s="285">
        <f>'ALL BUDGET REQUESTS'!R133</f>
        <v>961229</v>
      </c>
      <c r="J19" s="285">
        <f>I19</f>
        <v>961229</v>
      </c>
      <c r="K19" s="285"/>
    </row>
    <row r="20" spans="1:17" x14ac:dyDescent="0.2">
      <c r="A20" s="41"/>
      <c r="B20" s="286" t="s">
        <v>791</v>
      </c>
      <c r="C20" s="211"/>
      <c r="D20" s="303"/>
      <c r="E20" s="303">
        <v>0</v>
      </c>
      <c r="F20" s="303">
        <v>0</v>
      </c>
      <c r="G20" s="303">
        <v>0</v>
      </c>
      <c r="H20" s="302">
        <f t="shared" si="0"/>
        <v>0</v>
      </c>
      <c r="I20" s="285">
        <v>0</v>
      </c>
      <c r="J20" s="285">
        <f>I20</f>
        <v>0</v>
      </c>
      <c r="K20" s="285"/>
    </row>
    <row r="21" spans="1:17" x14ac:dyDescent="0.2">
      <c r="A21" s="304"/>
      <c r="B21" s="305" t="s">
        <v>787</v>
      </c>
      <c r="C21" s="306"/>
      <c r="D21" s="307"/>
      <c r="E21" s="307">
        <f>SUM(E16:E20)</f>
        <v>1703180</v>
      </c>
      <c r="F21" s="307">
        <f t="shared" ref="F21" si="1">SUM(F16:F20)</f>
        <v>549569</v>
      </c>
      <c r="G21" s="307">
        <f>SUM(G16:G20)</f>
        <v>82036</v>
      </c>
      <c r="H21" s="308">
        <f>SUM(H16:H20)</f>
        <v>2334785</v>
      </c>
      <c r="I21" s="309"/>
      <c r="J21" s="309"/>
      <c r="K21" s="309"/>
    </row>
    <row r="22" spans="1:17" ht="16" thickBot="1" x14ac:dyDescent="0.25">
      <c r="A22" s="310"/>
      <c r="B22" s="311" t="s">
        <v>794</v>
      </c>
      <c r="C22" s="312"/>
      <c r="D22" s="313"/>
      <c r="E22" s="313">
        <f>'ALL BUDGET REQUESTS'!R133</f>
        <v>961229</v>
      </c>
      <c r="F22" s="313">
        <f>CAPITAL!R47</f>
        <v>418972</v>
      </c>
      <c r="G22" s="313">
        <f>'ALL BUDGET REQUESTS'!R165</f>
        <v>75036</v>
      </c>
      <c r="H22" s="314"/>
      <c r="I22" s="315">
        <f>SUM(D22:H22)</f>
        <v>1455237</v>
      </c>
      <c r="J22" s="316"/>
      <c r="K22" s="316"/>
    </row>
    <row r="23" spans="1:17" ht="16" thickBot="1" x14ac:dyDescent="0.25">
      <c r="A23" s="317"/>
      <c r="B23" s="318" t="s">
        <v>795</v>
      </c>
      <c r="C23" s="319"/>
      <c r="D23" s="320"/>
      <c r="E23" s="320">
        <f>E22</f>
        <v>961229</v>
      </c>
      <c r="F23" s="320">
        <f>F22</f>
        <v>418972</v>
      </c>
      <c r="G23" s="320">
        <f>G22</f>
        <v>75036</v>
      </c>
      <c r="H23" s="321"/>
      <c r="I23" s="322"/>
      <c r="J23" s="322">
        <f>SUM(J16:J22)</f>
        <v>1455237</v>
      </c>
      <c r="K23" s="316"/>
    </row>
    <row r="24" spans="1:17" ht="16" thickBot="1" x14ac:dyDescent="0.25">
      <c r="A24" s="323"/>
      <c r="B24" s="324" t="s">
        <v>796</v>
      </c>
      <c r="C24" s="325"/>
      <c r="D24" s="326"/>
      <c r="E24" s="326"/>
      <c r="F24" s="326"/>
      <c r="G24" s="326"/>
      <c r="H24" s="327"/>
      <c r="I24" s="328"/>
      <c r="J24" s="328"/>
      <c r="K24" s="328">
        <f>SUM(K16:K23)</f>
        <v>0</v>
      </c>
    </row>
    <row r="25" spans="1:17" x14ac:dyDescent="0.2">
      <c r="A25" s="157" t="s">
        <v>821</v>
      </c>
    </row>
    <row r="26" spans="1:17" x14ac:dyDescent="0.2">
      <c r="A26" s="157" t="s">
        <v>806</v>
      </c>
      <c r="I26" s="171"/>
    </row>
    <row r="27" spans="1:17" ht="8.25" customHeight="1" x14ac:dyDescent="0.2">
      <c r="A27" s="32" t="s">
        <v>809</v>
      </c>
    </row>
    <row r="28" spans="1:17" ht="21.75" customHeight="1" thickBot="1" x14ac:dyDescent="0.25">
      <c r="A28" s="299" t="s">
        <v>798</v>
      </c>
      <c r="B28" s="34"/>
      <c r="C28" s="35"/>
      <c r="D28" s="34"/>
      <c r="E28" s="34"/>
      <c r="F28" s="34"/>
      <c r="G28" s="34"/>
      <c r="H28" s="34"/>
      <c r="I28" s="269"/>
      <c r="J28" s="34"/>
      <c r="K28" s="34"/>
      <c r="L28" s="35"/>
      <c r="M28" s="36"/>
      <c r="N28" s="35"/>
      <c r="O28" s="36"/>
      <c r="P28" s="270"/>
      <c r="Q28" s="271"/>
    </row>
    <row r="29" spans="1:17" ht="45" x14ac:dyDescent="0.2">
      <c r="A29" s="273"/>
      <c r="B29" s="274"/>
      <c r="C29" s="275"/>
      <c r="D29" s="276"/>
      <c r="E29" s="276"/>
      <c r="F29" s="276"/>
      <c r="G29" s="276"/>
      <c r="H29" s="277" t="s">
        <v>787</v>
      </c>
      <c r="I29" s="278" t="s">
        <v>788</v>
      </c>
      <c r="J29" s="279" t="s">
        <v>789</v>
      </c>
      <c r="K29" s="280" t="s">
        <v>790</v>
      </c>
      <c r="L29" s="35"/>
      <c r="M29" s="36"/>
      <c r="N29" s="35"/>
      <c r="O29" s="36"/>
      <c r="P29" s="270"/>
      <c r="Q29" s="271"/>
    </row>
    <row r="30" spans="1:17" ht="16" thickBot="1" x14ac:dyDescent="0.25">
      <c r="A30" s="329"/>
      <c r="B30" s="330" t="s">
        <v>579</v>
      </c>
      <c r="C30" s="331"/>
      <c r="D30" s="332"/>
      <c r="E30" s="332"/>
      <c r="F30" s="333"/>
      <c r="G30" s="333"/>
      <c r="H30" s="334">
        <f>PROP301!P13</f>
        <v>288966</v>
      </c>
      <c r="I30" s="335">
        <f>PROP301!R13</f>
        <v>283966</v>
      </c>
      <c r="J30" s="335">
        <f>I30</f>
        <v>283966</v>
      </c>
      <c r="K30" s="335">
        <f>PROP301!T13</f>
        <v>283966</v>
      </c>
      <c r="L30" s="35"/>
      <c r="M30" s="36"/>
      <c r="N30" s="35"/>
      <c r="O30" s="36"/>
      <c r="P30" s="270"/>
      <c r="Q30" s="271"/>
    </row>
    <row r="31" spans="1:17" x14ac:dyDescent="0.2">
      <c r="A31" s="337"/>
      <c r="B31" s="338"/>
      <c r="C31" s="275"/>
      <c r="D31" s="339"/>
      <c r="E31" s="339"/>
      <c r="F31" s="274"/>
      <c r="G31" s="274"/>
      <c r="H31" s="336"/>
      <c r="I31" s="336"/>
      <c r="J31" s="336"/>
      <c r="K31" s="336"/>
      <c r="L31" s="35"/>
      <c r="M31" s="36"/>
      <c r="N31" s="35"/>
      <c r="O31" s="36"/>
      <c r="P31" s="270"/>
      <c r="Q31" s="271"/>
    </row>
    <row r="32" spans="1:17" ht="8.25" customHeight="1" thickBot="1" x14ac:dyDescent="0.25">
      <c r="A32"/>
      <c r="B32"/>
      <c r="C32"/>
      <c r="D32"/>
      <c r="E32"/>
      <c r="F32"/>
      <c r="G32"/>
      <c r="H32" s="171"/>
      <c r="I32" s="171"/>
    </row>
    <row r="33" spans="1:10" ht="20" customHeight="1" thickBot="1" x14ac:dyDescent="0.25">
      <c r="A33" s="370" t="s">
        <v>810</v>
      </c>
      <c r="B33" s="371"/>
      <c r="C33" s="371"/>
      <c r="D33" s="371"/>
      <c r="E33" s="371"/>
      <c r="F33" s="372"/>
      <c r="G33"/>
      <c r="J33" s="171"/>
    </row>
    <row r="34" spans="1:10" ht="20" customHeight="1" x14ac:dyDescent="0.2">
      <c r="A34" s="220" t="s">
        <v>579</v>
      </c>
      <c r="B34" s="211"/>
      <c r="C34" s="211"/>
      <c r="D34" s="221" t="s">
        <v>744</v>
      </c>
      <c r="E34" s="221" t="s">
        <v>745</v>
      </c>
      <c r="F34" s="221" t="s">
        <v>746</v>
      </c>
      <c r="G34"/>
    </row>
    <row r="35" spans="1:10" ht="20" customHeight="1" x14ac:dyDescent="0.2">
      <c r="A35" s="224" t="s">
        <v>748</v>
      </c>
      <c r="B35" s="211"/>
      <c r="C35" s="211"/>
      <c r="D35" s="225"/>
      <c r="E35" s="225">
        <v>10000</v>
      </c>
      <c r="F35" s="226" t="s">
        <v>749</v>
      </c>
      <c r="G35"/>
      <c r="J35" s="171"/>
    </row>
    <row r="36" spans="1:10" ht="20" customHeight="1" x14ac:dyDescent="0.2">
      <c r="A36" s="224" t="s">
        <v>807</v>
      </c>
      <c r="B36" s="211"/>
      <c r="C36" s="211"/>
      <c r="D36" s="225"/>
      <c r="E36" s="225">
        <v>40600</v>
      </c>
      <c r="F36" s="226" t="s">
        <v>799</v>
      </c>
      <c r="J36" s="171"/>
    </row>
    <row r="37" spans="1:10" ht="20" customHeight="1" x14ac:dyDescent="0.2">
      <c r="A37" s="224"/>
      <c r="B37" s="230" t="s">
        <v>752</v>
      </c>
      <c r="C37" s="211"/>
      <c r="D37" s="231">
        <f>SUM(D35:D35)</f>
        <v>0</v>
      </c>
      <c r="E37" s="231">
        <f>SUM(E35:E36)</f>
        <v>50600</v>
      </c>
      <c r="F37" s="232"/>
      <c r="G37"/>
    </row>
    <row r="38" spans="1:10" ht="20" customHeight="1" x14ac:dyDescent="0.2">
      <c r="A38" s="220" t="s">
        <v>580</v>
      </c>
      <c r="B38" s="211"/>
      <c r="C38" s="211"/>
      <c r="D38" s="225"/>
      <c r="E38" s="225"/>
      <c r="F38" s="226"/>
      <c r="G38"/>
    </row>
    <row r="39" spans="1:10" ht="20" customHeight="1" x14ac:dyDescent="0.2">
      <c r="A39" s="224" t="s">
        <v>754</v>
      </c>
      <c r="B39" s="211"/>
      <c r="C39" s="211"/>
      <c r="D39" s="225">
        <v>5000</v>
      </c>
      <c r="E39" s="225">
        <v>5000</v>
      </c>
      <c r="F39" s="226" t="s">
        <v>749</v>
      </c>
      <c r="G39"/>
    </row>
    <row r="40" spans="1:10" ht="20" customHeight="1" x14ac:dyDescent="0.2">
      <c r="A40" s="224" t="s">
        <v>755</v>
      </c>
      <c r="B40" s="211"/>
      <c r="C40" s="211"/>
      <c r="D40" s="225">
        <v>50000</v>
      </c>
      <c r="E40" s="225">
        <v>50000</v>
      </c>
      <c r="F40" s="226" t="s">
        <v>749</v>
      </c>
      <c r="G40"/>
    </row>
    <row r="41" spans="1:10" ht="20" customHeight="1" x14ac:dyDescent="0.2">
      <c r="A41" s="224"/>
      <c r="B41" s="230" t="s">
        <v>752</v>
      </c>
      <c r="C41" s="211"/>
      <c r="D41" s="231">
        <f>SUM(D39:D40)</f>
        <v>55000</v>
      </c>
      <c r="E41" s="231">
        <f>SUM(E39:E40)</f>
        <v>55000</v>
      </c>
      <c r="F41" s="232"/>
      <c r="G41"/>
    </row>
    <row r="42" spans="1:10" ht="20" customHeight="1" x14ac:dyDescent="0.2">
      <c r="A42" s="220" t="s">
        <v>581</v>
      </c>
      <c r="B42" s="211"/>
      <c r="C42" s="211"/>
      <c r="D42" s="225"/>
      <c r="E42" s="225"/>
      <c r="F42" s="226"/>
      <c r="G42"/>
    </row>
    <row r="43" spans="1:10" ht="20" customHeight="1" x14ac:dyDescent="0.2">
      <c r="A43" s="224" t="s">
        <v>758</v>
      </c>
      <c r="B43" s="211"/>
      <c r="C43" s="211"/>
      <c r="D43" s="225">
        <v>19859</v>
      </c>
      <c r="E43" s="225">
        <v>19859</v>
      </c>
      <c r="F43" s="226" t="s">
        <v>749</v>
      </c>
      <c r="G43"/>
    </row>
    <row r="44" spans="1:10" ht="20" customHeight="1" x14ac:dyDescent="0.2">
      <c r="A44" s="224" t="s">
        <v>800</v>
      </c>
      <c r="B44" s="211"/>
      <c r="C44" s="211"/>
      <c r="D44" s="225"/>
      <c r="E44" s="225">
        <v>50000</v>
      </c>
      <c r="F44" s="226" t="s">
        <v>799</v>
      </c>
    </row>
    <row r="45" spans="1:10" ht="20" customHeight="1" x14ac:dyDescent="0.2">
      <c r="A45" s="224"/>
      <c r="B45" s="230" t="s">
        <v>752</v>
      </c>
      <c r="C45" s="211"/>
      <c r="D45" s="232">
        <f>SUM(D43)</f>
        <v>19859</v>
      </c>
      <c r="E45" s="232">
        <f>SUM(E43)</f>
        <v>19859</v>
      </c>
      <c r="F45" s="232"/>
      <c r="G45"/>
    </row>
    <row r="46" spans="1:10" ht="20" customHeight="1" x14ac:dyDescent="0.2">
      <c r="A46" s="220" t="s">
        <v>761</v>
      </c>
      <c r="B46" s="211"/>
      <c r="C46" s="211"/>
      <c r="D46" s="225"/>
      <c r="E46" s="225"/>
      <c r="F46" s="226"/>
      <c r="G46"/>
    </row>
    <row r="47" spans="1:10" ht="20" customHeight="1" x14ac:dyDescent="0.2">
      <c r="A47" s="224" t="s">
        <v>763</v>
      </c>
      <c r="B47" s="211"/>
      <c r="C47" s="211"/>
      <c r="D47" s="225">
        <v>40000</v>
      </c>
      <c r="E47" s="225">
        <v>37000</v>
      </c>
      <c r="F47" s="226" t="s">
        <v>749</v>
      </c>
      <c r="G47"/>
    </row>
    <row r="48" spans="1:10" ht="20" customHeight="1" x14ac:dyDescent="0.2">
      <c r="A48" s="224" t="s">
        <v>764</v>
      </c>
      <c r="B48" s="211"/>
      <c r="C48" s="211"/>
      <c r="D48" s="225">
        <v>35000</v>
      </c>
      <c r="E48" s="225">
        <v>30000</v>
      </c>
      <c r="F48" s="226" t="s">
        <v>749</v>
      </c>
      <c r="G48"/>
    </row>
    <row r="49" spans="1:17" ht="20" customHeight="1" x14ac:dyDescent="0.2">
      <c r="A49" s="224"/>
      <c r="B49" s="230" t="s">
        <v>752</v>
      </c>
      <c r="C49" s="211"/>
      <c r="D49" s="231">
        <f>SUM(D47:D48)</f>
        <v>75000</v>
      </c>
      <c r="E49" s="231">
        <f>SUM(E47:E48)</f>
        <v>67000</v>
      </c>
      <c r="F49" s="232"/>
      <c r="G49"/>
    </row>
    <row r="50" spans="1:17" ht="20" customHeight="1" x14ac:dyDescent="0.2">
      <c r="A50" s="220" t="s">
        <v>643</v>
      </c>
      <c r="B50" s="211"/>
      <c r="C50" s="211"/>
      <c r="D50" s="225"/>
      <c r="E50" s="225"/>
      <c r="F50" s="226"/>
      <c r="G50"/>
    </row>
    <row r="51" spans="1:17" ht="20" customHeight="1" x14ac:dyDescent="0.2">
      <c r="A51" s="224" t="s">
        <v>768</v>
      </c>
      <c r="B51" s="211"/>
      <c r="C51" s="211"/>
      <c r="D51" s="225">
        <v>35000</v>
      </c>
      <c r="E51" s="225">
        <v>35000</v>
      </c>
      <c r="F51" s="226" t="s">
        <v>749</v>
      </c>
      <c r="G51"/>
    </row>
    <row r="52" spans="1:17" ht="20" customHeight="1" x14ac:dyDescent="0.2">
      <c r="A52" s="224" t="s">
        <v>769</v>
      </c>
      <c r="B52" s="211"/>
      <c r="C52" s="211"/>
      <c r="D52" s="225">
        <v>18000</v>
      </c>
      <c r="E52" s="225">
        <v>18000</v>
      </c>
      <c r="F52" s="226" t="s">
        <v>749</v>
      </c>
      <c r="G52"/>
    </row>
    <row r="53" spans="1:17" ht="20" customHeight="1" x14ac:dyDescent="0.2">
      <c r="A53" s="224" t="s">
        <v>770</v>
      </c>
      <c r="B53" s="211"/>
      <c r="C53" s="211"/>
      <c r="D53" s="225"/>
      <c r="E53" s="225">
        <v>40000</v>
      </c>
      <c r="F53" s="226" t="s">
        <v>749</v>
      </c>
      <c r="G53"/>
    </row>
    <row r="54" spans="1:17" ht="20" customHeight="1" x14ac:dyDescent="0.2">
      <c r="A54" s="224"/>
      <c r="B54" s="230" t="s">
        <v>752</v>
      </c>
      <c r="C54" s="211"/>
      <c r="D54" s="231">
        <f>SUM(D51:D53)</f>
        <v>53000</v>
      </c>
      <c r="E54" s="231">
        <f>SUM(E51:E53)</f>
        <v>93000</v>
      </c>
      <c r="F54" s="232"/>
      <c r="G54"/>
    </row>
    <row r="55" spans="1:17" ht="20" customHeight="1" x14ac:dyDescent="0.2">
      <c r="A55" s="220" t="s">
        <v>772</v>
      </c>
      <c r="B55" s="211"/>
      <c r="C55" s="211"/>
      <c r="D55" s="225"/>
      <c r="E55" s="225"/>
      <c r="F55" s="226"/>
      <c r="G55"/>
    </row>
    <row r="56" spans="1:17" ht="20" customHeight="1" x14ac:dyDescent="0.2">
      <c r="A56" s="239" t="s">
        <v>773</v>
      </c>
      <c r="B56" s="211"/>
      <c r="C56" s="211"/>
      <c r="D56" s="225">
        <v>513330</v>
      </c>
      <c r="E56" s="225">
        <v>395498</v>
      </c>
      <c r="F56" s="226" t="s">
        <v>774</v>
      </c>
      <c r="G56"/>
    </row>
    <row r="57" spans="1:17" ht="20" customHeight="1" x14ac:dyDescent="0.2">
      <c r="A57" s="224"/>
      <c r="B57" s="211"/>
      <c r="C57" s="211"/>
      <c r="D57" s="225"/>
      <c r="E57" s="225"/>
      <c r="F57" s="226"/>
      <c r="G57"/>
    </row>
    <row r="58" spans="1:17" ht="20" customHeight="1" x14ac:dyDescent="0.2">
      <c r="A58" s="220"/>
      <c r="B58" s="230" t="s">
        <v>752</v>
      </c>
      <c r="C58" s="211"/>
      <c r="D58" s="231">
        <f>SUM(D56:D57)</f>
        <v>513330</v>
      </c>
      <c r="E58" s="231">
        <f>SUM(E56:E57)</f>
        <v>395498</v>
      </c>
      <c r="F58" s="232"/>
      <c r="G58"/>
    </row>
    <row r="59" spans="1:17" ht="20" customHeight="1" thickBot="1" x14ac:dyDescent="0.25">
      <c r="A59" s="244" t="s">
        <v>606</v>
      </c>
      <c r="B59" s="245"/>
      <c r="C59" s="245" t="s">
        <v>776</v>
      </c>
      <c r="D59" s="246">
        <f>D58+D54+D49+D45+D41</f>
        <v>716189</v>
      </c>
      <c r="E59" s="246">
        <f>E58+E54+E49+E45+E41+E37</f>
        <v>680957</v>
      </c>
      <c r="F59" s="247" t="s">
        <v>776</v>
      </c>
      <c r="G59"/>
    </row>
    <row r="60" spans="1:17" ht="8.25" customHeight="1" x14ac:dyDescent="0.2">
      <c r="G60" s="171"/>
    </row>
    <row r="61" spans="1:17" ht="21.75" customHeight="1" thickBot="1" x14ac:dyDescent="0.25">
      <c r="A61" s="299" t="s">
        <v>801</v>
      </c>
      <c r="B61" s="34"/>
      <c r="C61" s="35"/>
      <c r="D61" s="34"/>
      <c r="E61" s="34"/>
      <c r="F61" s="34"/>
      <c r="G61" s="34"/>
      <c r="H61" s="34"/>
      <c r="I61" s="269"/>
      <c r="J61" s="34"/>
      <c r="K61" s="34"/>
      <c r="L61" s="35"/>
      <c r="M61" s="36"/>
      <c r="N61" s="35"/>
      <c r="O61" s="36"/>
      <c r="P61" s="270"/>
      <c r="Q61" s="271"/>
    </row>
    <row r="62" spans="1:17" ht="45" x14ac:dyDescent="0.2">
      <c r="A62" s="273"/>
      <c r="B62" s="274"/>
      <c r="C62" s="275"/>
      <c r="D62" s="276"/>
      <c r="E62" s="276"/>
      <c r="F62" s="276"/>
      <c r="G62" s="276"/>
      <c r="H62" s="277" t="s">
        <v>787</v>
      </c>
      <c r="I62" s="350" t="s">
        <v>788</v>
      </c>
      <c r="J62" s="351" t="s">
        <v>790</v>
      </c>
      <c r="K62" s="35"/>
      <c r="L62" s="36"/>
      <c r="M62" s="35"/>
      <c r="N62" s="36"/>
      <c r="O62" s="270"/>
      <c r="P62" s="271"/>
    </row>
    <row r="63" spans="1:17" x14ac:dyDescent="0.2">
      <c r="A63" s="281"/>
      <c r="B63" s="343" t="s">
        <v>802</v>
      </c>
      <c r="C63" s="43"/>
      <c r="D63" s="283"/>
      <c r="E63" s="283"/>
      <c r="F63" s="42"/>
      <c r="G63" s="42"/>
      <c r="H63" s="284">
        <f>'OTHERS - PUMA PATH PROJ.'!P12</f>
        <v>166824</v>
      </c>
      <c r="I63" s="336">
        <f>'OTHERS - PUMA PATH PROJ.'!R12</f>
        <v>70535</v>
      </c>
      <c r="J63" s="302"/>
      <c r="K63" s="35"/>
      <c r="L63" s="36"/>
      <c r="M63" s="35"/>
      <c r="N63" s="36"/>
      <c r="O63" s="270"/>
      <c r="P63" s="271"/>
    </row>
    <row r="64" spans="1:17" x14ac:dyDescent="0.2">
      <c r="A64" s="345"/>
      <c r="B64" s="346" t="s">
        <v>803</v>
      </c>
      <c r="C64" s="347"/>
      <c r="D64" s="347"/>
      <c r="E64" s="347"/>
      <c r="F64" s="347"/>
      <c r="G64" s="347"/>
      <c r="H64" s="348">
        <f>'OTHERS - PUMA PATH PROJ.'!P19</f>
        <v>68450</v>
      </c>
      <c r="I64" s="348">
        <f>'OTHERS - PUMA PATH PROJ.'!R19</f>
        <v>15750</v>
      </c>
      <c r="J64" s="349"/>
    </row>
    <row r="65" spans="1:10" ht="16" thickBot="1" x14ac:dyDescent="0.25">
      <c r="A65" s="342" t="s">
        <v>606</v>
      </c>
      <c r="B65" s="163"/>
      <c r="C65" s="163"/>
      <c r="D65" s="163"/>
      <c r="E65" s="163"/>
      <c r="F65" s="163"/>
      <c r="G65" s="163"/>
      <c r="H65" s="344">
        <f>H63+H64</f>
        <v>235274</v>
      </c>
      <c r="I65" s="344">
        <f>I63+I64</f>
        <v>86285</v>
      </c>
      <c r="J65" s="352">
        <f>+J63+J64</f>
        <v>0</v>
      </c>
    </row>
  </sheetData>
  <mergeCells count="2">
    <mergeCell ref="J1:K1"/>
    <mergeCell ref="A33:F33"/>
  </mergeCells>
  <phoneticPr fontId="56" type="noConversion"/>
  <pageMargins left="0.45" right="0.45" top="0.5" bottom="0.5" header="0.3" footer="0.3"/>
  <pageSetup paperSize="5" scale="61" orientation="portrait" r:id="rId1"/>
  <headerFooter>
    <oddFooter>&amp;RPage &amp;P</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25"/>
  <sheetViews>
    <sheetView view="pageLayout" topLeftCell="F74" workbookViewId="0">
      <selection activeCell="P112" sqref="P112:Q112"/>
    </sheetView>
  </sheetViews>
  <sheetFormatPr baseColWidth="10" defaultColWidth="8.83203125" defaultRowHeight="15" x14ac:dyDescent="0.2"/>
  <cols>
    <col min="1" max="1" width="34.33203125" style="32" customWidth="1"/>
    <col min="2" max="2" width="14.33203125" style="32" bestFit="1" customWidth="1"/>
    <col min="3" max="3" width="12.5" style="32" bestFit="1" customWidth="1"/>
    <col min="4" max="4" width="2.33203125" style="32" customWidth="1"/>
    <col min="5" max="5" width="12.5" style="32" bestFit="1" customWidth="1"/>
    <col min="6" max="6" width="16.33203125" style="32" customWidth="1"/>
    <col min="7" max="7" width="15.6640625" style="32" customWidth="1"/>
    <col min="8" max="8" width="13.5" style="32" bestFit="1" customWidth="1"/>
    <col min="9" max="9" width="15" style="32" customWidth="1"/>
    <col min="10" max="10" width="14.1640625" style="32" customWidth="1"/>
    <col min="11" max="11" width="15" style="32" customWidth="1"/>
    <col min="12" max="12" width="12.5" style="32" bestFit="1" customWidth="1"/>
    <col min="13" max="16384" width="8.83203125" style="32"/>
  </cols>
  <sheetData>
    <row r="1" spans="1:11" ht="24" hidden="1" x14ac:dyDescent="0.3">
      <c r="A1" s="373" t="s">
        <v>685</v>
      </c>
      <c r="B1" s="373"/>
      <c r="C1" s="373"/>
      <c r="D1" s="373"/>
      <c r="E1" s="373"/>
      <c r="F1" s="373"/>
      <c r="G1" s="373"/>
      <c r="H1" s="373"/>
    </row>
    <row r="2" spans="1:11" hidden="1" x14ac:dyDescent="0.2">
      <c r="A2" s="374" t="s">
        <v>686</v>
      </c>
      <c r="B2" s="374"/>
      <c r="C2" s="374"/>
      <c r="D2" s="374"/>
      <c r="E2" s="374"/>
      <c r="F2" s="374"/>
      <c r="G2" s="374"/>
      <c r="H2" s="374"/>
    </row>
    <row r="3" spans="1:11" ht="30" hidden="1" thickBot="1" x14ac:dyDescent="0.4">
      <c r="A3" s="138" t="s">
        <v>687</v>
      </c>
      <c r="B3" s="139" t="s">
        <v>688</v>
      </c>
      <c r="C3" s="139" t="s">
        <v>689</v>
      </c>
      <c r="D3" s="139"/>
      <c r="E3" s="139" t="s">
        <v>690</v>
      </c>
      <c r="F3" s="139" t="s">
        <v>691</v>
      </c>
      <c r="G3" s="139" t="s">
        <v>692</v>
      </c>
      <c r="H3" s="139" t="s">
        <v>693</v>
      </c>
      <c r="I3" s="139" t="s">
        <v>694</v>
      </c>
    </row>
    <row r="4" spans="1:11" hidden="1" x14ac:dyDescent="0.2">
      <c r="A4" s="32" t="s">
        <v>695</v>
      </c>
      <c r="B4" s="140">
        <f>B6-C6</f>
        <v>-163.48800000000028</v>
      </c>
      <c r="C4" s="140">
        <v>-151</v>
      </c>
      <c r="D4" s="140"/>
      <c r="E4" s="141">
        <v>-243</v>
      </c>
      <c r="F4" s="141">
        <v>-212</v>
      </c>
      <c r="G4" s="141">
        <v>210</v>
      </c>
      <c r="H4" s="141">
        <v>679</v>
      </c>
      <c r="I4" s="140">
        <v>78.639999999999986</v>
      </c>
    </row>
    <row r="5" spans="1:11" hidden="1" x14ac:dyDescent="0.2">
      <c r="A5" s="32" t="s">
        <v>696</v>
      </c>
      <c r="B5" s="142">
        <v>-3.2000000000000001E-2</v>
      </c>
      <c r="C5" s="142">
        <v>-2.870722433460076E-2</v>
      </c>
      <c r="D5" s="142"/>
      <c r="E5" s="143">
        <v>-4.4157732146102129E-2</v>
      </c>
      <c r="F5" s="143">
        <v>-3.709536307961505E-2</v>
      </c>
      <c r="G5" s="143">
        <v>3.8147138964577658E-2</v>
      </c>
      <c r="H5" s="143">
        <v>0.14069622876087856</v>
      </c>
      <c r="I5" s="144"/>
    </row>
    <row r="6" spans="1:11" hidden="1" x14ac:dyDescent="0.2">
      <c r="A6" s="32" t="s">
        <v>697</v>
      </c>
      <c r="B6" s="140">
        <f>C6*96.8%</f>
        <v>4945.5119999999997</v>
      </c>
      <c r="C6" s="140">
        <v>5109</v>
      </c>
      <c r="D6" s="140"/>
      <c r="E6" s="141">
        <v>5260</v>
      </c>
      <c r="F6" s="141">
        <v>5503</v>
      </c>
      <c r="G6" s="141">
        <v>5715</v>
      </c>
      <c r="H6" s="141">
        <v>5505</v>
      </c>
      <c r="I6" s="140"/>
    </row>
    <row r="7" spans="1:11" hidden="1" x14ac:dyDescent="0.2">
      <c r="A7" s="145" t="s">
        <v>698</v>
      </c>
      <c r="B7" s="146">
        <f>B4*2130</f>
        <v>-348229.44000000058</v>
      </c>
      <c r="C7" s="147">
        <v>-321630</v>
      </c>
      <c r="D7" s="147"/>
      <c r="E7" s="148">
        <v>-517590</v>
      </c>
      <c r="F7" s="148">
        <v>-451560</v>
      </c>
      <c r="G7" s="148">
        <v>447300</v>
      </c>
      <c r="H7" s="148">
        <v>1446270</v>
      </c>
      <c r="I7" s="148">
        <v>167503.19999999995</v>
      </c>
      <c r="K7" s="140"/>
    </row>
    <row r="8" spans="1:11" hidden="1" x14ac:dyDescent="0.2">
      <c r="A8" s="149" t="s">
        <v>699</v>
      </c>
      <c r="B8" s="150">
        <v>0</v>
      </c>
      <c r="C8" s="150">
        <v>0</v>
      </c>
      <c r="D8" s="150"/>
      <c r="E8" s="150">
        <v>-973078</v>
      </c>
      <c r="F8" s="151">
        <v>-101623</v>
      </c>
      <c r="G8" s="150">
        <v>-446529</v>
      </c>
      <c r="H8" s="152">
        <v>-309758</v>
      </c>
      <c r="I8" s="150">
        <v>-1830988</v>
      </c>
    </row>
    <row r="9" spans="1:11" ht="16" hidden="1" thickBot="1" x14ac:dyDescent="0.25">
      <c r="A9" s="153" t="s">
        <v>700</v>
      </c>
      <c r="B9" s="154">
        <f>B4*2130</f>
        <v>-348229.44000000058</v>
      </c>
      <c r="C9" s="154">
        <v>-321630</v>
      </c>
      <c r="D9" s="154"/>
      <c r="E9" s="154">
        <v>-1490668</v>
      </c>
      <c r="F9" s="154">
        <v>-553183</v>
      </c>
      <c r="G9" s="154">
        <v>771</v>
      </c>
      <c r="H9" s="154">
        <v>1136512</v>
      </c>
      <c r="I9" s="154">
        <v>-1663484.7999999998</v>
      </c>
    </row>
    <row r="10" spans="1:11" hidden="1" x14ac:dyDescent="0.2">
      <c r="A10" s="155" t="s">
        <v>701</v>
      </c>
      <c r="B10" s="156"/>
      <c r="C10" s="156"/>
      <c r="D10" s="156"/>
      <c r="E10" s="157"/>
    </row>
    <row r="11" spans="1:11" ht="11.25" hidden="1" customHeight="1" x14ac:dyDescent="0.2">
      <c r="A11" s="157"/>
      <c r="B11" s="156"/>
      <c r="C11" s="156"/>
      <c r="D11" s="156"/>
      <c r="E11" s="157"/>
    </row>
    <row r="12" spans="1:11" ht="30" hidden="1" thickBot="1" x14ac:dyDescent="0.4">
      <c r="A12" s="138" t="s">
        <v>702</v>
      </c>
      <c r="B12" s="156"/>
      <c r="C12" s="156"/>
      <c r="D12" s="156"/>
      <c r="E12" s="157"/>
    </row>
    <row r="13" spans="1:11" ht="20" hidden="1" thickBot="1" x14ac:dyDescent="0.3">
      <c r="A13" s="158" t="s">
        <v>703</v>
      </c>
      <c r="B13" s="139" t="s">
        <v>704</v>
      </c>
      <c r="C13" s="139" t="s">
        <v>689</v>
      </c>
      <c r="D13" s="139"/>
      <c r="E13" s="139" t="s">
        <v>690</v>
      </c>
      <c r="F13" s="139" t="s">
        <v>691</v>
      </c>
      <c r="G13" s="139" t="s">
        <v>692</v>
      </c>
      <c r="H13" s="139" t="s">
        <v>693</v>
      </c>
      <c r="I13" s="139" t="s">
        <v>694</v>
      </c>
    </row>
    <row r="14" spans="1:11" hidden="1" x14ac:dyDescent="0.2">
      <c r="A14" s="32" t="s">
        <v>705</v>
      </c>
      <c r="B14" s="37">
        <v>38886000</v>
      </c>
      <c r="C14" s="37">
        <v>37666634</v>
      </c>
      <c r="D14" s="37"/>
      <c r="E14" s="37">
        <v>36820081</v>
      </c>
      <c r="F14" s="37">
        <v>36814467</v>
      </c>
      <c r="G14" s="37">
        <v>36789033</v>
      </c>
      <c r="H14" s="37">
        <v>32542180</v>
      </c>
    </row>
    <row r="15" spans="1:11" hidden="1" x14ac:dyDescent="0.2">
      <c r="A15" s="32" t="s">
        <v>706</v>
      </c>
      <c r="B15" s="159">
        <v>40734933.399999999</v>
      </c>
      <c r="C15" s="159">
        <v>41396012</v>
      </c>
      <c r="D15" s="159"/>
      <c r="E15" s="159">
        <v>40039680.57</v>
      </c>
      <c r="F15" s="159">
        <v>39260610.780000001</v>
      </c>
      <c r="G15" s="159">
        <v>39626582.270000003</v>
      </c>
      <c r="H15" s="159">
        <v>38019210.649999999</v>
      </c>
      <c r="I15" s="159"/>
    </row>
    <row r="16" spans="1:11" hidden="1" x14ac:dyDescent="0.2">
      <c r="A16" s="32" t="s">
        <v>707</v>
      </c>
      <c r="B16" s="159">
        <f>-10938628.12-25095095.55</f>
        <v>-36033723.670000002</v>
      </c>
      <c r="C16" s="159">
        <f>-40077680.16-C17</f>
        <v>-39512680.159999996</v>
      </c>
      <c r="D16" s="159"/>
      <c r="E16" s="159">
        <f>-38750977.31+552301</f>
        <v>-38198676.310000002</v>
      </c>
      <c r="F16" s="159">
        <f>-38033969.84+552217</f>
        <v>-37481752.840000004</v>
      </c>
      <c r="G16" s="159">
        <f>-38359581.78+3176613</f>
        <v>-35182968.780000001</v>
      </c>
      <c r="H16" s="159">
        <f>-35705498.54+500000</f>
        <v>-35205498.539999999</v>
      </c>
      <c r="I16" s="159"/>
    </row>
    <row r="17" spans="1:9" hidden="1" x14ac:dyDescent="0.2">
      <c r="A17" s="145" t="s">
        <v>708</v>
      </c>
      <c r="B17" s="160">
        <v>0</v>
      </c>
      <c r="C17" s="160">
        <v>-565000</v>
      </c>
      <c r="D17" s="160"/>
      <c r="E17" s="160">
        <v>-552301</v>
      </c>
      <c r="F17" s="160">
        <v>-552217</v>
      </c>
      <c r="G17" s="160">
        <v>-3176613</v>
      </c>
      <c r="H17" s="160">
        <v>-500000</v>
      </c>
      <c r="I17" s="159">
        <f>SUM(C17:H17)</f>
        <v>-5346131</v>
      </c>
    </row>
    <row r="18" spans="1:9" ht="16" hidden="1" thickBot="1" x14ac:dyDescent="0.25">
      <c r="A18" s="161" t="s">
        <v>709</v>
      </c>
      <c r="B18" s="162">
        <f>B15+B16+B17</f>
        <v>4701209.7299999967</v>
      </c>
      <c r="C18" s="162">
        <f>C15+C16+C17</f>
        <v>1318331.8400000036</v>
      </c>
      <c r="D18" s="162"/>
      <c r="E18" s="162">
        <f>SUM(E15:E17)</f>
        <v>1288703.2599999979</v>
      </c>
      <c r="F18" s="162">
        <f>SUM(F15:F17)</f>
        <v>1226640.9399999976</v>
      </c>
      <c r="G18" s="162">
        <f>SUM(G15:G17)</f>
        <v>1267000.4900000021</v>
      </c>
      <c r="H18" s="162">
        <f>SUM(H15:H17)</f>
        <v>2313712.1099999994</v>
      </c>
      <c r="I18" s="162"/>
    </row>
    <row r="19" spans="1:9" hidden="1" x14ac:dyDescent="0.2"/>
    <row r="20" spans="1:9" ht="20" hidden="1" thickBot="1" x14ac:dyDescent="0.3">
      <c r="A20" s="158" t="s">
        <v>710</v>
      </c>
      <c r="B20" s="163"/>
      <c r="C20" s="163"/>
      <c r="D20" s="163"/>
      <c r="E20" s="163"/>
      <c r="F20" s="163"/>
      <c r="G20" s="163"/>
      <c r="H20" s="163"/>
      <c r="I20" s="163"/>
    </row>
    <row r="21" spans="1:9" hidden="1" x14ac:dyDescent="0.2">
      <c r="A21" s="32" t="s">
        <v>711</v>
      </c>
      <c r="B21" s="37">
        <v>1916790.42</v>
      </c>
      <c r="C21" s="37">
        <v>1858223.7</v>
      </c>
      <c r="D21" s="37"/>
      <c r="E21" s="37">
        <v>3757348.81</v>
      </c>
      <c r="F21" s="37">
        <v>3418861.5</v>
      </c>
      <c r="G21" s="37">
        <v>3059970.07</v>
      </c>
      <c r="H21" s="37">
        <v>2197385.79</v>
      </c>
    </row>
    <row r="22" spans="1:9" hidden="1" x14ac:dyDescent="0.2">
      <c r="A22" s="32" t="s">
        <v>712</v>
      </c>
      <c r="B22" s="159">
        <v>289375.62</v>
      </c>
      <c r="C22" s="159">
        <v>347667.91</v>
      </c>
      <c r="D22" s="159"/>
      <c r="E22" s="159">
        <v>806448.85</v>
      </c>
      <c r="F22" s="159">
        <v>827124.78</v>
      </c>
      <c r="G22" s="159">
        <v>798952.12</v>
      </c>
      <c r="H22" s="159">
        <v>2450877.2599999998</v>
      </c>
      <c r="I22" s="140">
        <f>SUM(B22:H22)</f>
        <v>5520446.54</v>
      </c>
    </row>
    <row r="23" spans="1:9" hidden="1" x14ac:dyDescent="0.2">
      <c r="A23" s="32" t="s">
        <v>713</v>
      </c>
      <c r="B23" s="159">
        <v>-209250.92</v>
      </c>
      <c r="C23" s="159">
        <v>-289101.19</v>
      </c>
      <c r="D23" s="159"/>
      <c r="E23" s="159">
        <v>-2705568.96</v>
      </c>
      <c r="F23" s="159">
        <v>-488637.47</v>
      </c>
      <c r="G23" s="159">
        <v>-440060.69</v>
      </c>
      <c r="H23" s="159">
        <v>-1588292.98</v>
      </c>
      <c r="I23" s="140">
        <f>SUM(B23:H23)</f>
        <v>-5720912.21</v>
      </c>
    </row>
    <row r="24" spans="1:9" ht="16" hidden="1" thickBot="1" x14ac:dyDescent="0.25">
      <c r="A24" s="164" t="s">
        <v>709</v>
      </c>
      <c r="B24" s="165">
        <f>SUM(B21:B23)</f>
        <v>1996915.12</v>
      </c>
      <c r="C24" s="166">
        <f>SUM(C21:C23)</f>
        <v>1916790.42</v>
      </c>
      <c r="D24" s="166"/>
      <c r="E24" s="166">
        <f>SUM(E21:E23)</f>
        <v>1858228.7000000002</v>
      </c>
      <c r="F24" s="166">
        <f>SUM(F21:F23)</f>
        <v>3757348.8100000005</v>
      </c>
      <c r="G24" s="166">
        <f>SUM(G21:G23)</f>
        <v>3418861.5</v>
      </c>
      <c r="H24" s="166">
        <f>SUM(H21:H23)</f>
        <v>3059970.07</v>
      </c>
      <c r="I24" s="164"/>
    </row>
    <row r="25" spans="1:9" hidden="1" x14ac:dyDescent="0.2"/>
    <row r="26" spans="1:9" hidden="1" x14ac:dyDescent="0.2"/>
    <row r="27" spans="1:9" ht="20" hidden="1" thickBot="1" x14ac:dyDescent="0.3">
      <c r="A27" s="158" t="s">
        <v>714</v>
      </c>
      <c r="B27" s="163"/>
      <c r="C27" s="163"/>
      <c r="D27" s="163"/>
      <c r="E27" s="163"/>
      <c r="F27" s="163"/>
      <c r="G27" s="163"/>
      <c r="H27" s="163"/>
      <c r="I27" s="163"/>
    </row>
    <row r="28" spans="1:9" hidden="1" x14ac:dyDescent="0.2">
      <c r="A28" s="32" t="s">
        <v>711</v>
      </c>
      <c r="B28" s="37">
        <v>562516.62</v>
      </c>
      <c r="C28" s="37">
        <v>402224.01</v>
      </c>
      <c r="D28" s="37"/>
      <c r="E28" s="37">
        <v>614902.34</v>
      </c>
      <c r="F28" s="37">
        <v>553045.59</v>
      </c>
      <c r="G28" s="37">
        <v>446074.23</v>
      </c>
      <c r="H28" s="37">
        <v>430083.73</v>
      </c>
      <c r="I28" s="37"/>
    </row>
    <row r="29" spans="1:9" hidden="1" x14ac:dyDescent="0.2">
      <c r="A29" s="32" t="s">
        <v>712</v>
      </c>
      <c r="B29" s="159">
        <v>477717</v>
      </c>
      <c r="C29" s="159">
        <v>533098</v>
      </c>
      <c r="D29" s="159"/>
      <c r="E29" s="159">
        <v>583193.79</v>
      </c>
      <c r="F29" s="159">
        <v>569889</v>
      </c>
      <c r="G29" s="159">
        <v>607565.9</v>
      </c>
      <c r="H29" s="159">
        <v>630941.42000000004</v>
      </c>
      <c r="I29" s="37">
        <f>SUM(B29:H29)</f>
        <v>3402405.11</v>
      </c>
    </row>
    <row r="30" spans="1:9" hidden="1" x14ac:dyDescent="0.2">
      <c r="A30" s="32" t="s">
        <v>713</v>
      </c>
      <c r="B30" s="159">
        <v>-309535.84999999998</v>
      </c>
      <c r="C30" s="159">
        <v>-372805.39</v>
      </c>
      <c r="D30" s="159"/>
      <c r="E30" s="159">
        <v>-795872.12</v>
      </c>
      <c r="F30" s="159">
        <v>-508032.25</v>
      </c>
      <c r="G30" s="159">
        <v>-500594.54</v>
      </c>
      <c r="H30" s="159">
        <v>-614950.92000000004</v>
      </c>
      <c r="I30" s="37">
        <f>SUM(B30:H30)</f>
        <v>-3101791.07</v>
      </c>
    </row>
    <row r="31" spans="1:9" ht="16" hidden="1" thickBot="1" x14ac:dyDescent="0.25">
      <c r="A31" s="164" t="s">
        <v>709</v>
      </c>
      <c r="B31" s="166">
        <f>B28+B29+B30</f>
        <v>730697.77</v>
      </c>
      <c r="C31" s="166">
        <f>C28+C29+C30</f>
        <v>562516.62</v>
      </c>
      <c r="D31" s="166"/>
      <c r="E31" s="166">
        <f>E28+E29+E30</f>
        <v>402224.00999999989</v>
      </c>
      <c r="F31" s="166">
        <f>F28+F29+F30</f>
        <v>614902.33999999985</v>
      </c>
      <c r="G31" s="166">
        <f>G28+G29+G30</f>
        <v>553045.58999999985</v>
      </c>
      <c r="H31" s="166">
        <f>H28+H29+H30</f>
        <v>446074.22999999986</v>
      </c>
      <c r="I31" s="166"/>
    </row>
    <row r="32" spans="1:9" hidden="1" x14ac:dyDescent="0.2">
      <c r="B32" s="37"/>
      <c r="C32" s="37"/>
      <c r="D32" s="37"/>
      <c r="E32" s="37"/>
      <c r="F32" s="37"/>
      <c r="G32" s="37"/>
      <c r="H32" s="37"/>
      <c r="I32" s="37"/>
    </row>
    <row r="33" spans="1:11" ht="20" hidden="1" thickBot="1" x14ac:dyDescent="0.3">
      <c r="A33" s="158" t="s">
        <v>715</v>
      </c>
      <c r="B33" s="167"/>
      <c r="C33" s="167"/>
      <c r="D33" s="167"/>
      <c r="E33" s="167"/>
      <c r="F33" s="167"/>
      <c r="G33" s="167"/>
      <c r="H33" s="167"/>
      <c r="I33" s="167"/>
    </row>
    <row r="34" spans="1:11" hidden="1" x14ac:dyDescent="0.2">
      <c r="A34" s="32" t="s">
        <v>711</v>
      </c>
      <c r="B34" s="37">
        <v>416233.93</v>
      </c>
      <c r="C34" s="37">
        <v>224522.59</v>
      </c>
      <c r="D34" s="37"/>
      <c r="E34" s="37">
        <f>-31747.82+66820.61</f>
        <v>35072.79</v>
      </c>
      <c r="F34" s="37">
        <f>38047.73+17487.61</f>
        <v>55535.340000000004</v>
      </c>
      <c r="G34" s="37">
        <f>75662.51+28737.55</f>
        <v>104400.06</v>
      </c>
      <c r="H34" s="37">
        <v>273759.38</v>
      </c>
      <c r="I34" s="37"/>
    </row>
    <row r="35" spans="1:11" hidden="1" x14ac:dyDescent="0.2">
      <c r="A35" s="32" t="s">
        <v>712</v>
      </c>
      <c r="B35" s="159">
        <v>307939.75</v>
      </c>
      <c r="C35" s="159">
        <f>368118.85+138</f>
        <v>368256.85</v>
      </c>
      <c r="D35" s="159"/>
      <c r="E35" s="159">
        <f>817632.5-52009.57</f>
        <v>765622.93</v>
      </c>
      <c r="F35" s="159">
        <f>662277.23+51246</f>
        <v>713523.23</v>
      </c>
      <c r="G35" s="159">
        <f>648230.39+21317</f>
        <v>669547.39</v>
      </c>
      <c r="H35" s="159">
        <f>698049.6+47963</f>
        <v>746012.6</v>
      </c>
      <c r="I35" s="37">
        <f>SUM(B35:H35)</f>
        <v>3570902.75</v>
      </c>
    </row>
    <row r="36" spans="1:11" hidden="1" x14ac:dyDescent="0.2">
      <c r="A36" s="32" t="s">
        <v>713</v>
      </c>
      <c r="B36" s="159">
        <v>-103158.37</v>
      </c>
      <c r="C36" s="159">
        <v>-176545.51</v>
      </c>
      <c r="D36" s="159"/>
      <c r="E36" s="159">
        <v>-576173.13</v>
      </c>
      <c r="F36" s="159">
        <v>-733985.78</v>
      </c>
      <c r="G36" s="159">
        <v>-718412.11</v>
      </c>
      <c r="H36" s="159">
        <v>-915371.92</v>
      </c>
      <c r="I36" s="37">
        <f>SUM(B36:H36)</f>
        <v>-3223646.82</v>
      </c>
    </row>
    <row r="37" spans="1:11" ht="16" hidden="1" thickBot="1" x14ac:dyDescent="0.25">
      <c r="A37" s="164" t="s">
        <v>709</v>
      </c>
      <c r="B37" s="166">
        <f>SUM(B34:B36)</f>
        <v>621015.30999999994</v>
      </c>
      <c r="C37" s="166">
        <f>SUM(C34:C36)</f>
        <v>416233.92999999993</v>
      </c>
      <c r="D37" s="166"/>
      <c r="E37" s="166">
        <f>SUM(E34:E36)</f>
        <v>224522.59000000008</v>
      </c>
      <c r="F37" s="166">
        <f>SUM(F34:F36)</f>
        <v>35072.789999999921</v>
      </c>
      <c r="G37" s="166">
        <f>SUM(G34:G36)</f>
        <v>55535.339999999967</v>
      </c>
      <c r="H37" s="166">
        <f>SUM(H34:H36)</f>
        <v>104400.05999999994</v>
      </c>
      <c r="I37" s="166"/>
    </row>
    <row r="38" spans="1:11" hidden="1" x14ac:dyDescent="0.2">
      <c r="A38" s="168"/>
      <c r="B38" s="169"/>
      <c r="C38" s="169"/>
      <c r="D38" s="169"/>
      <c r="E38" s="169"/>
      <c r="F38" s="169"/>
      <c r="G38" s="169"/>
      <c r="H38" s="169"/>
      <c r="I38" s="169"/>
    </row>
    <row r="39" spans="1:11" ht="20" hidden="1" thickBot="1" x14ac:dyDescent="0.3">
      <c r="A39" s="158" t="s">
        <v>716</v>
      </c>
      <c r="B39" s="167"/>
      <c r="C39" s="167"/>
      <c r="D39" s="167"/>
      <c r="E39" s="167"/>
      <c r="F39" s="167"/>
      <c r="G39" s="167"/>
      <c r="H39" s="167"/>
      <c r="I39" s="167"/>
    </row>
    <row r="40" spans="1:11" hidden="1" x14ac:dyDescent="0.2">
      <c r="A40" s="32" t="s">
        <v>711</v>
      </c>
      <c r="B40" s="37">
        <f>538063.36+39401.98</f>
        <v>577465.34</v>
      </c>
      <c r="C40" s="37">
        <v>1119864.97</v>
      </c>
      <c r="D40" s="37"/>
      <c r="E40" s="37">
        <v>1273781.79</v>
      </c>
      <c r="F40" s="37">
        <v>1186041.04</v>
      </c>
      <c r="G40" s="37">
        <v>885193.89</v>
      </c>
      <c r="H40" s="37">
        <v>715296.1</v>
      </c>
      <c r="I40" s="37">
        <f>SUM(B40:H40)</f>
        <v>5757643.1299999999</v>
      </c>
    </row>
    <row r="41" spans="1:11" hidden="1" x14ac:dyDescent="0.2">
      <c r="A41" s="32" t="s">
        <v>713</v>
      </c>
      <c r="B41" s="37">
        <f>-24747.05-302723.86</f>
        <v>-327470.90999999997</v>
      </c>
      <c r="C41" s="37">
        <v>-968430.62</v>
      </c>
      <c r="D41" s="37"/>
      <c r="E41" s="37">
        <v>-1126009.19</v>
      </c>
      <c r="F41" s="37">
        <v>-1016628.84</v>
      </c>
      <c r="G41" s="37">
        <v>-704715.61</v>
      </c>
      <c r="H41" s="37">
        <v>-566205.92000000004</v>
      </c>
      <c r="I41" s="37">
        <f>SUM(B41:H41)</f>
        <v>-4709461.09</v>
      </c>
    </row>
    <row r="42" spans="1:11" ht="16" hidden="1" thickBot="1" x14ac:dyDescent="0.25">
      <c r="A42" s="164" t="s">
        <v>709</v>
      </c>
      <c r="B42" s="166">
        <f>SUM(B40:B41)</f>
        <v>249994.43</v>
      </c>
      <c r="C42" s="166">
        <f>SUM(C40:C41)</f>
        <v>151434.34999999998</v>
      </c>
      <c r="D42" s="166"/>
      <c r="E42" s="166">
        <f>SUM(E40:E41)</f>
        <v>147772.60000000009</v>
      </c>
      <c r="F42" s="166">
        <f>SUM(F40:F41)</f>
        <v>169412.20000000007</v>
      </c>
      <c r="G42" s="166">
        <f>SUM(G40:G41)</f>
        <v>180478.28000000003</v>
      </c>
      <c r="H42" s="166">
        <f>SUM(H40:H41)</f>
        <v>149090.17999999993</v>
      </c>
      <c r="I42" s="166"/>
    </row>
    <row r="43" spans="1:11" hidden="1" x14ac:dyDescent="0.2">
      <c r="B43" s="37"/>
      <c r="C43" s="37"/>
      <c r="D43" s="37"/>
      <c r="E43" s="37"/>
      <c r="F43" s="37"/>
      <c r="G43" s="37"/>
      <c r="H43" s="37"/>
      <c r="I43" s="37"/>
    </row>
    <row r="44" spans="1:11" ht="20" hidden="1" thickBot="1" x14ac:dyDescent="0.3">
      <c r="A44" s="158" t="s">
        <v>717</v>
      </c>
      <c r="B44" s="167"/>
      <c r="C44" s="167"/>
      <c r="D44" s="167"/>
      <c r="E44" s="167"/>
      <c r="F44" s="167"/>
      <c r="G44" s="167"/>
      <c r="H44" s="167"/>
      <c r="I44" s="167"/>
    </row>
    <row r="45" spans="1:11" hidden="1" x14ac:dyDescent="0.2">
      <c r="A45" s="32" t="s">
        <v>711</v>
      </c>
      <c r="B45" s="37">
        <v>5682974</v>
      </c>
      <c r="C45" s="37">
        <v>5910636.0599999996</v>
      </c>
      <c r="D45" s="37"/>
      <c r="E45" s="37">
        <v>5997069.1799999997</v>
      </c>
      <c r="F45" s="37">
        <v>5946845.3399999999</v>
      </c>
      <c r="G45" s="37">
        <v>2977834.54</v>
      </c>
      <c r="H45" s="37">
        <v>2092869.94</v>
      </c>
      <c r="I45" s="37"/>
    </row>
    <row r="46" spans="1:11" hidden="1" x14ac:dyDescent="0.2">
      <c r="A46" s="32" t="s">
        <v>718</v>
      </c>
      <c r="B46" s="170">
        <v>500000</v>
      </c>
      <c r="C46" s="37">
        <v>565000</v>
      </c>
      <c r="D46" s="37"/>
      <c r="E46" s="37">
        <v>552301</v>
      </c>
      <c r="F46" s="37">
        <v>552217</v>
      </c>
      <c r="G46" s="37">
        <v>3176613</v>
      </c>
      <c r="H46" s="37">
        <v>1000000</v>
      </c>
      <c r="I46" s="37">
        <f>SUM(B46:H46)</f>
        <v>6346131</v>
      </c>
    </row>
    <row r="47" spans="1:11" hidden="1" x14ac:dyDescent="0.2">
      <c r="A47" s="32" t="s">
        <v>713</v>
      </c>
      <c r="B47" s="37">
        <v>-699087.63</v>
      </c>
      <c r="C47" s="37">
        <f>-539773.65-252888.65</f>
        <v>-792662.3</v>
      </c>
      <c r="D47" s="37"/>
      <c r="E47" s="37">
        <f>-582766.26-55967.92</f>
        <v>-638734.18000000005</v>
      </c>
      <c r="F47" s="37">
        <f>-192029.4-309963.94</f>
        <v>-501993.33999999997</v>
      </c>
      <c r="G47" s="37">
        <f>-155807-51795.54</f>
        <v>-207602.54</v>
      </c>
      <c r="H47" s="37">
        <f>-97217.58-17817.36</f>
        <v>-115034.94</v>
      </c>
      <c r="I47" s="37">
        <f>SUM(B47:H47)</f>
        <v>-2955114.93</v>
      </c>
      <c r="K47" s="171"/>
    </row>
    <row r="48" spans="1:11" ht="16" hidden="1" thickBot="1" x14ac:dyDescent="0.25">
      <c r="A48" s="164" t="s">
        <v>709</v>
      </c>
      <c r="B48" s="166">
        <f>SUM(B45:B47)</f>
        <v>5483886.3700000001</v>
      </c>
      <c r="C48" s="166">
        <f>SUM(C45:C47)</f>
        <v>5682973.7599999998</v>
      </c>
      <c r="D48" s="166"/>
      <c r="E48" s="166">
        <v>5910636</v>
      </c>
      <c r="F48" s="166">
        <f>SUM(F45:F47)</f>
        <v>5997069</v>
      </c>
      <c r="G48" s="166">
        <f>SUM(G45:G47)</f>
        <v>5946845</v>
      </c>
      <c r="H48" s="166">
        <f>SUM(H45:H47)</f>
        <v>2977835</v>
      </c>
      <c r="I48" s="166"/>
    </row>
    <row r="49" spans="1:9" hidden="1" x14ac:dyDescent="0.2">
      <c r="B49" s="37"/>
      <c r="C49" s="37"/>
      <c r="D49" s="37"/>
      <c r="E49" s="37"/>
      <c r="F49" s="37"/>
      <c r="G49" s="37"/>
      <c r="H49" s="37"/>
      <c r="I49" s="37"/>
    </row>
    <row r="50" spans="1:9" ht="20" hidden="1" thickBot="1" x14ac:dyDescent="0.3">
      <c r="A50" s="158" t="s">
        <v>719</v>
      </c>
      <c r="B50" s="167"/>
      <c r="C50" s="167"/>
      <c r="D50" s="167"/>
      <c r="E50" s="167"/>
      <c r="F50" s="167"/>
      <c r="G50" s="167"/>
      <c r="H50" s="167"/>
      <c r="I50" s="167"/>
    </row>
    <row r="51" spans="1:9" hidden="1" x14ac:dyDescent="0.2">
      <c r="A51" s="32" t="s">
        <v>711</v>
      </c>
      <c r="B51" s="37">
        <f>C53</f>
        <v>9324194.4100000001</v>
      </c>
      <c r="C51" s="37">
        <f>E53</f>
        <v>12160934.199999999</v>
      </c>
      <c r="D51" s="37"/>
      <c r="E51" s="37">
        <f>F53</f>
        <v>15254384.699999999</v>
      </c>
      <c r="F51" s="37">
        <f>G53</f>
        <v>23896727</v>
      </c>
      <c r="G51" s="37">
        <v>28588322.260000002</v>
      </c>
      <c r="H51" s="37">
        <v>39221831.799999997</v>
      </c>
      <c r="I51" s="37"/>
    </row>
    <row r="52" spans="1:9" hidden="1" x14ac:dyDescent="0.2">
      <c r="A52" s="32" t="s">
        <v>707</v>
      </c>
      <c r="B52" s="37">
        <f>B53-B51</f>
        <v>-7100250.4100000001</v>
      </c>
      <c r="C52" s="37">
        <f>C53-C51</f>
        <v>-2836739.7899999991</v>
      </c>
      <c r="D52" s="37"/>
      <c r="E52" s="37">
        <f>E53-E51</f>
        <v>-3093450.5</v>
      </c>
      <c r="F52" s="37">
        <f>F53-F51</f>
        <v>-8642342.3000000007</v>
      </c>
      <c r="G52" s="37">
        <f>G53-G51</f>
        <v>-4691595.2600000016</v>
      </c>
      <c r="H52" s="37">
        <f>H53-H51</f>
        <v>-10633509.539999995</v>
      </c>
      <c r="I52" s="37">
        <f>SUM(B52:H52)</f>
        <v>-36997887.799999997</v>
      </c>
    </row>
    <row r="53" spans="1:9" ht="16" hidden="1" thickBot="1" x14ac:dyDescent="0.25">
      <c r="A53" s="164" t="s">
        <v>709</v>
      </c>
      <c r="B53" s="166">
        <v>2223944</v>
      </c>
      <c r="C53" s="166">
        <v>9324194.4100000001</v>
      </c>
      <c r="D53" s="166"/>
      <c r="E53" s="166">
        <v>12160934.199999999</v>
      </c>
      <c r="F53" s="166">
        <v>15254384.699999999</v>
      </c>
      <c r="G53" s="166">
        <v>23896727</v>
      </c>
      <c r="H53" s="166">
        <f>G51</f>
        <v>28588322.260000002</v>
      </c>
      <c r="I53" s="166"/>
    </row>
    <row r="54" spans="1:9" hidden="1" x14ac:dyDescent="0.2"/>
    <row r="55" spans="1:9" ht="20" hidden="1" thickBot="1" x14ac:dyDescent="0.3">
      <c r="A55" s="158" t="s">
        <v>720</v>
      </c>
      <c r="B55" s="167"/>
      <c r="C55" s="167"/>
      <c r="D55" s="167"/>
      <c r="E55" s="167"/>
      <c r="F55" s="167"/>
      <c r="G55" s="167"/>
      <c r="H55" s="167"/>
      <c r="I55" s="167"/>
    </row>
    <row r="56" spans="1:9" hidden="1" x14ac:dyDescent="0.2">
      <c r="A56" s="32" t="s">
        <v>711</v>
      </c>
      <c r="B56" s="37">
        <f>C59</f>
        <v>114634.44999999998</v>
      </c>
      <c r="C56" s="37">
        <f>E59</f>
        <v>104407.98999999999</v>
      </c>
      <c r="D56" s="37"/>
      <c r="E56" s="37">
        <f>F59</f>
        <v>138934.15999999997</v>
      </c>
      <c r="F56" s="37">
        <f>G59</f>
        <v>175841.58999999997</v>
      </c>
      <c r="G56" s="37">
        <f>H59</f>
        <v>105292.60999999999</v>
      </c>
      <c r="H56" s="37">
        <v>110221.81</v>
      </c>
      <c r="I56" s="37"/>
    </row>
    <row r="57" spans="1:9" hidden="1" x14ac:dyDescent="0.2">
      <c r="A57" s="32" t="s">
        <v>712</v>
      </c>
      <c r="B57" s="37">
        <f>76293.22</f>
        <v>76293.22</v>
      </c>
      <c r="C57" s="37">
        <v>83595.929999999993</v>
      </c>
      <c r="D57" s="37"/>
      <c r="E57" s="37">
        <v>81341.83</v>
      </c>
      <c r="F57" s="37">
        <v>81738.03</v>
      </c>
      <c r="G57" s="37">
        <v>121201.98</v>
      </c>
      <c r="H57" s="37">
        <v>88230.8</v>
      </c>
      <c r="I57" s="37">
        <f>SUM(B57:H57)</f>
        <v>532401.79</v>
      </c>
    </row>
    <row r="58" spans="1:9" hidden="1" x14ac:dyDescent="0.2">
      <c r="A58" s="32" t="s">
        <v>713</v>
      </c>
      <c r="B58" s="37">
        <f>-23960.67-82.8</f>
        <v>-24043.469999999998</v>
      </c>
      <c r="C58" s="37">
        <v>-73369.47</v>
      </c>
      <c r="D58" s="37"/>
      <c r="E58" s="37">
        <v>-115868</v>
      </c>
      <c r="F58" s="37">
        <v>-118645.46</v>
      </c>
      <c r="G58" s="37">
        <v>-50653</v>
      </c>
      <c r="H58" s="37">
        <v>-93160</v>
      </c>
      <c r="I58" s="37">
        <f>SUM(B58:H58)</f>
        <v>-475739.4</v>
      </c>
    </row>
    <row r="59" spans="1:9" ht="16" hidden="1" thickBot="1" x14ac:dyDescent="0.25">
      <c r="A59" s="164" t="s">
        <v>709</v>
      </c>
      <c r="B59" s="166">
        <v>119690.42</v>
      </c>
      <c r="C59" s="166">
        <f>SUM(C56:C58)</f>
        <v>114634.44999999998</v>
      </c>
      <c r="D59" s="166"/>
      <c r="E59" s="166">
        <f>SUM(E56:E58)</f>
        <v>104407.98999999999</v>
      </c>
      <c r="F59" s="166">
        <f>SUM(F56:F58)</f>
        <v>138934.15999999997</v>
      </c>
      <c r="G59" s="166">
        <f>SUM(G56:G58)</f>
        <v>175841.58999999997</v>
      </c>
      <c r="H59" s="166">
        <f>SUM(H56:H58)</f>
        <v>105292.60999999999</v>
      </c>
      <c r="I59" s="166"/>
    </row>
    <row r="60" spans="1:9" hidden="1" x14ac:dyDescent="0.2">
      <c r="A60" s="172"/>
      <c r="B60" s="173"/>
      <c r="C60" s="173"/>
      <c r="D60" s="173"/>
      <c r="E60" s="173"/>
      <c r="F60" s="173"/>
      <c r="G60" s="173"/>
      <c r="H60" s="173"/>
      <c r="I60" s="173"/>
    </row>
    <row r="61" spans="1:9" ht="6" hidden="1" customHeight="1" x14ac:dyDescent="0.2">
      <c r="A61" s="172"/>
      <c r="B61" s="173"/>
      <c r="C61" s="173"/>
      <c r="D61" s="173"/>
      <c r="E61" s="173"/>
      <c r="F61" s="173"/>
      <c r="G61" s="173"/>
      <c r="H61" s="173"/>
      <c r="I61" s="173"/>
    </row>
    <row r="62" spans="1:9" hidden="1" x14ac:dyDescent="0.2"/>
    <row r="63" spans="1:9" ht="20" hidden="1" thickBot="1" x14ac:dyDescent="0.3">
      <c r="A63" s="158" t="s">
        <v>720</v>
      </c>
      <c r="B63" s="167"/>
      <c r="C63" s="167"/>
      <c r="D63" s="167"/>
      <c r="E63" s="167"/>
      <c r="F63" s="167"/>
      <c r="G63" s="167"/>
      <c r="H63" s="167"/>
      <c r="I63" s="167"/>
    </row>
    <row r="64" spans="1:9" hidden="1" x14ac:dyDescent="0.2">
      <c r="A64" s="32" t="s">
        <v>711</v>
      </c>
      <c r="B64" s="37">
        <f>C67</f>
        <v>114634.44999999998</v>
      </c>
      <c r="C64" s="37">
        <f>E67</f>
        <v>104407.98999999999</v>
      </c>
      <c r="D64" s="37"/>
      <c r="E64" s="37">
        <f>F67</f>
        <v>138934.15999999997</v>
      </c>
      <c r="F64" s="37">
        <f>G67</f>
        <v>175841.58999999997</v>
      </c>
      <c r="G64" s="37">
        <f>H67</f>
        <v>105292.60999999999</v>
      </c>
      <c r="H64" s="37">
        <v>110221.81</v>
      </c>
      <c r="I64" s="37"/>
    </row>
    <row r="65" spans="1:12" hidden="1" x14ac:dyDescent="0.2">
      <c r="A65" s="32" t="s">
        <v>712</v>
      </c>
      <c r="B65" s="37">
        <f>50891.39</f>
        <v>50891.39</v>
      </c>
      <c r="C65" s="37">
        <v>83595.929999999993</v>
      </c>
      <c r="D65" s="37"/>
      <c r="E65" s="37">
        <v>81341.83</v>
      </c>
      <c r="F65" s="37">
        <v>81738.03</v>
      </c>
      <c r="G65" s="37">
        <v>121201.98</v>
      </c>
      <c r="H65" s="37">
        <v>88230.8</v>
      </c>
      <c r="I65" s="37">
        <f>SUM(B65:H65)</f>
        <v>506999.96</v>
      </c>
    </row>
    <row r="66" spans="1:12" hidden="1" x14ac:dyDescent="0.2">
      <c r="A66" s="32" t="s">
        <v>713</v>
      </c>
      <c r="B66" s="37">
        <f>-9301.76-82.8</f>
        <v>-9384.56</v>
      </c>
      <c r="C66" s="37">
        <v>-73369.47</v>
      </c>
      <c r="D66" s="37"/>
      <c r="E66" s="37">
        <v>-115868</v>
      </c>
      <c r="F66" s="37">
        <v>-118645.46</v>
      </c>
      <c r="G66" s="37">
        <v>-50653</v>
      </c>
      <c r="H66" s="37">
        <v>-93160</v>
      </c>
      <c r="I66" s="37">
        <f>SUM(B66:H66)</f>
        <v>-461080.49</v>
      </c>
    </row>
    <row r="67" spans="1:12" ht="16" hidden="1" thickBot="1" x14ac:dyDescent="0.25">
      <c r="A67" s="164" t="s">
        <v>709</v>
      </c>
      <c r="B67" s="166">
        <v>119690.42</v>
      </c>
      <c r="C67" s="166">
        <f>SUM(C64:C66)</f>
        <v>114634.44999999998</v>
      </c>
      <c r="D67" s="166"/>
      <c r="E67" s="166">
        <f>SUM(E64:E66)</f>
        <v>104407.98999999999</v>
      </c>
      <c r="F67" s="166">
        <f>SUM(F64:F66)</f>
        <v>138934.15999999997</v>
      </c>
      <c r="G67" s="166">
        <f>SUM(G64:G66)</f>
        <v>175841.58999999997</v>
      </c>
      <c r="H67" s="166">
        <f>SUM(H64:H66)</f>
        <v>105292.60999999999</v>
      </c>
      <c r="I67" s="166"/>
    </row>
    <row r="68" spans="1:12" hidden="1" x14ac:dyDescent="0.2">
      <c r="A68" s="172"/>
      <c r="B68" s="173"/>
      <c r="C68" s="173"/>
      <c r="D68" s="173"/>
      <c r="E68" s="173"/>
      <c r="F68" s="173"/>
      <c r="G68" s="173"/>
      <c r="H68" s="173"/>
      <c r="I68" s="173"/>
    </row>
    <row r="69" spans="1:12" ht="5.25" hidden="1" customHeight="1" x14ac:dyDescent="0.2">
      <c r="A69" s="172"/>
      <c r="B69" s="173"/>
      <c r="C69" s="173"/>
      <c r="D69" s="173"/>
      <c r="E69" s="173"/>
      <c r="F69" s="173"/>
      <c r="G69" s="173"/>
      <c r="H69" s="173"/>
      <c r="I69" s="173"/>
    </row>
    <row r="70" spans="1:12" hidden="1" x14ac:dyDescent="0.2"/>
    <row r="71" spans="1:12" ht="30" thickBot="1" x14ac:dyDescent="0.4">
      <c r="A71" s="138" t="s">
        <v>721</v>
      </c>
      <c r="B71" s="163"/>
      <c r="C71" s="163"/>
      <c r="D71" s="163"/>
      <c r="E71" s="163"/>
    </row>
    <row r="72" spans="1:12" ht="8.25" customHeight="1" x14ac:dyDescent="0.2"/>
    <row r="73" spans="1:12" x14ac:dyDescent="0.2">
      <c r="A73" s="174" t="s">
        <v>722</v>
      </c>
      <c r="B73" s="175"/>
      <c r="C73" s="176"/>
      <c r="D73" s="176"/>
      <c r="E73" s="176"/>
      <c r="F73" s="177"/>
      <c r="G73" s="177"/>
      <c r="H73" s="177"/>
      <c r="I73" s="177" t="s">
        <v>723</v>
      </c>
      <c r="J73" s="177"/>
    </row>
    <row r="74" spans="1:12" ht="8.25" customHeight="1" thickBot="1" x14ac:dyDescent="0.25">
      <c r="A74" s="178"/>
      <c r="B74" s="177"/>
      <c r="C74" s="176"/>
      <c r="D74" s="176"/>
      <c r="E74" s="176"/>
      <c r="F74" s="177"/>
      <c r="G74" s="177"/>
      <c r="H74" s="177"/>
      <c r="I74" s="179"/>
      <c r="J74" s="177"/>
    </row>
    <row r="75" spans="1:12" ht="42.75" customHeight="1" x14ac:dyDescent="0.2">
      <c r="A75" s="180" t="s">
        <v>374</v>
      </c>
      <c r="B75" s="181" t="s">
        <v>724</v>
      </c>
      <c r="C75" s="181" t="s">
        <v>725</v>
      </c>
      <c r="D75" s="181"/>
      <c r="E75" s="181" t="s">
        <v>726</v>
      </c>
      <c r="F75" s="182" t="s">
        <v>727</v>
      </c>
      <c r="G75" s="183" t="s">
        <v>728</v>
      </c>
      <c r="H75" s="184" t="s">
        <v>729</v>
      </c>
      <c r="I75" s="185" t="s">
        <v>728</v>
      </c>
      <c r="J75" s="186" t="s">
        <v>730</v>
      </c>
      <c r="K75" s="181" t="s">
        <v>731</v>
      </c>
      <c r="L75" s="186" t="s">
        <v>732</v>
      </c>
    </row>
    <row r="76" spans="1:12" x14ac:dyDescent="0.2">
      <c r="A76" s="187" t="s">
        <v>733</v>
      </c>
      <c r="B76" s="188">
        <v>124554</v>
      </c>
      <c r="C76" s="189">
        <v>6.53543397980718E-2</v>
      </c>
      <c r="D76" s="189"/>
      <c r="E76" s="190">
        <v>99157</v>
      </c>
      <c r="F76" s="191">
        <v>78028</v>
      </c>
      <c r="G76" s="192">
        <v>6.5354681568887588E-2</v>
      </c>
      <c r="H76" s="193">
        <f>I76*H81</f>
        <v>77247.720000000016</v>
      </c>
      <c r="I76" s="194">
        <v>6.5354681568887601E-2</v>
      </c>
      <c r="J76" s="195">
        <f>H76*93.7%</f>
        <v>72381.113640000025</v>
      </c>
      <c r="K76" s="196">
        <v>6.5354681568887601E-2</v>
      </c>
      <c r="L76" s="195">
        <v>65354.681568887601</v>
      </c>
    </row>
    <row r="77" spans="1:12" x14ac:dyDescent="0.2">
      <c r="A77" s="187" t="s">
        <v>579</v>
      </c>
      <c r="B77" s="197">
        <v>1095942</v>
      </c>
      <c r="C77" s="198">
        <v>0.57504829926761414</v>
      </c>
      <c r="D77" s="198"/>
      <c r="E77" s="176">
        <v>872479</v>
      </c>
      <c r="F77" s="191">
        <v>676559</v>
      </c>
      <c r="G77" s="192">
        <v>0.56667219469376406</v>
      </c>
      <c r="H77" s="199">
        <f>I77*H81</f>
        <v>669793.41</v>
      </c>
      <c r="I77" s="194">
        <v>0.56667219469376406</v>
      </c>
      <c r="J77" s="195">
        <f t="shared" ref="J77:J80" si="0">H77*93.7%</f>
        <v>627596.42517000006</v>
      </c>
      <c r="K77" s="196">
        <v>0.56667219469376406</v>
      </c>
      <c r="L77" s="195">
        <v>566672.19469376409</v>
      </c>
    </row>
    <row r="78" spans="1:12" x14ac:dyDescent="0.2">
      <c r="A78" s="187" t="s">
        <v>734</v>
      </c>
      <c r="B78" s="197">
        <v>347952</v>
      </c>
      <c r="C78" s="198">
        <v>0.18257280570209453</v>
      </c>
      <c r="D78" s="198"/>
      <c r="E78" s="176">
        <v>277005</v>
      </c>
      <c r="F78" s="191">
        <v>217977</v>
      </c>
      <c r="G78" s="192">
        <v>0.18257314584945675</v>
      </c>
      <c r="H78" s="199">
        <f>I78*H81</f>
        <v>215797.23000000004</v>
      </c>
      <c r="I78" s="194">
        <v>0.18257314584945677</v>
      </c>
      <c r="J78" s="195">
        <f t="shared" si="0"/>
        <v>202202.00451000006</v>
      </c>
      <c r="K78" s="196">
        <v>0.18257314584945677</v>
      </c>
      <c r="L78" s="195">
        <f>182573.145849457</f>
        <v>182573.14584945701</v>
      </c>
    </row>
    <row r="79" spans="1:12" x14ac:dyDescent="0.2">
      <c r="A79" s="187" t="s">
        <v>581</v>
      </c>
      <c r="B79" s="197">
        <v>150378</v>
      </c>
      <c r="C79" s="198">
        <v>7.8904370073658345E-2</v>
      </c>
      <c r="D79" s="198"/>
      <c r="E79" s="176">
        <v>119716</v>
      </c>
      <c r="F79" s="191">
        <v>104205</v>
      </c>
      <c r="G79" s="192">
        <v>8.7280009648920021E-2</v>
      </c>
      <c r="H79" s="199">
        <f>I79*H81</f>
        <v>103162.95000000003</v>
      </c>
      <c r="I79" s="194">
        <v>8.7280009648920034E-2</v>
      </c>
      <c r="J79" s="195">
        <f t="shared" si="0"/>
        <v>96663.68415000003</v>
      </c>
      <c r="K79" s="196">
        <v>8.7280009648920034E-2</v>
      </c>
      <c r="L79" s="195">
        <v>87280.009648920037</v>
      </c>
    </row>
    <row r="80" spans="1:12" ht="16" thickBot="1" x14ac:dyDescent="0.25">
      <c r="A80" s="187" t="s">
        <v>735</v>
      </c>
      <c r="B80" s="197">
        <v>187000</v>
      </c>
      <c r="C80" s="198">
        <v>9.8120185158561177E-2</v>
      </c>
      <c r="D80" s="198"/>
      <c r="E80" s="176">
        <v>148871</v>
      </c>
      <c r="F80" s="191">
        <v>117147</v>
      </c>
      <c r="G80" s="192">
        <v>9.811996823897158E-2</v>
      </c>
      <c r="H80" s="199">
        <f>I80*H81</f>
        <v>115975.53</v>
      </c>
      <c r="I80" s="194">
        <v>9.811996823897158E-2</v>
      </c>
      <c r="J80" s="195">
        <f t="shared" si="0"/>
        <v>108669.07161</v>
      </c>
      <c r="K80" s="196">
        <v>9.811996823897158E-2</v>
      </c>
      <c r="L80" s="195">
        <v>98119.968238971574</v>
      </c>
    </row>
    <row r="81" spans="1:13" ht="16" thickBot="1" x14ac:dyDescent="0.25">
      <c r="A81" s="200"/>
      <c r="B81" s="201">
        <v>1905826</v>
      </c>
      <c r="C81" s="201"/>
      <c r="D81" s="201"/>
      <c r="E81" s="201">
        <v>1517228</v>
      </c>
      <c r="F81" s="202">
        <v>1193916</v>
      </c>
      <c r="G81" s="203" t="s">
        <v>736</v>
      </c>
      <c r="H81" s="204">
        <f>1193916*99%</f>
        <v>1181976.8400000001</v>
      </c>
      <c r="I81" s="205" t="s">
        <v>737</v>
      </c>
      <c r="J81" s="206">
        <f>SUM(J76:J80)</f>
        <v>1107512.2990800003</v>
      </c>
      <c r="K81" s="207">
        <f>SUM(K76:K80)</f>
        <v>1</v>
      </c>
      <c r="L81" s="206">
        <f>SUM(L76:L80)</f>
        <v>1000000.0000000002</v>
      </c>
    </row>
    <row r="82" spans="1:13" x14ac:dyDescent="0.2">
      <c r="A82" s="208" t="s">
        <v>738</v>
      </c>
      <c r="F82" s="209"/>
    </row>
    <row r="83" spans="1:13" x14ac:dyDescent="0.2">
      <c r="A83" s="210" t="s">
        <v>739</v>
      </c>
      <c r="F83" s="211"/>
      <c r="K83" s="212"/>
    </row>
    <row r="84" spans="1:13" ht="18" customHeight="1" thickBot="1" x14ac:dyDescent="0.25">
      <c r="A84" s="210" t="s">
        <v>740</v>
      </c>
    </row>
    <row r="85" spans="1:13" ht="17" thickBot="1" x14ac:dyDescent="0.25">
      <c r="A85" s="213" t="s">
        <v>741</v>
      </c>
      <c r="B85" s="214"/>
      <c r="C85" s="215"/>
      <c r="D85" s="172"/>
      <c r="E85" s="39"/>
      <c r="G85" s="375" t="s">
        <v>742</v>
      </c>
      <c r="H85" s="376"/>
      <c r="I85" s="376"/>
      <c r="J85" s="376"/>
      <c r="K85" s="376"/>
      <c r="L85" s="377"/>
      <c r="M85" s="216"/>
    </row>
    <row r="86" spans="1:13" ht="30" x14ac:dyDescent="0.2">
      <c r="A86" s="217" t="s">
        <v>743</v>
      </c>
      <c r="B86" s="218"/>
      <c r="C86" s="219"/>
      <c r="D86" s="172"/>
      <c r="E86" s="39"/>
      <c r="G86" s="220" t="s">
        <v>579</v>
      </c>
      <c r="H86" s="211"/>
      <c r="I86" s="211"/>
      <c r="J86" s="221" t="s">
        <v>744</v>
      </c>
      <c r="K86" s="221" t="s">
        <v>745</v>
      </c>
      <c r="L86" s="221" t="s">
        <v>746</v>
      </c>
    </row>
    <row r="87" spans="1:13" x14ac:dyDescent="0.2">
      <c r="A87" s="222" t="s">
        <v>747</v>
      </c>
      <c r="B87" s="223">
        <f>-L81</f>
        <v>-1000000.0000000002</v>
      </c>
      <c r="C87" s="219"/>
      <c r="D87" s="172"/>
      <c r="E87" s="39"/>
      <c r="G87" s="224" t="s">
        <v>748</v>
      </c>
      <c r="H87" s="211"/>
      <c r="I87" s="211"/>
      <c r="J87" s="225"/>
      <c r="K87" s="225">
        <v>10000</v>
      </c>
      <c r="L87" s="226" t="s">
        <v>749</v>
      </c>
    </row>
    <row r="88" spans="1:13" x14ac:dyDescent="0.2">
      <c r="A88" s="222" t="s">
        <v>750</v>
      </c>
      <c r="B88" s="227">
        <f>-K112</f>
        <v>-680957</v>
      </c>
      <c r="C88" s="228" t="s">
        <v>751</v>
      </c>
      <c r="D88" s="229"/>
      <c r="E88" s="39"/>
      <c r="G88" s="224" t="s">
        <v>807</v>
      </c>
      <c r="H88" s="211"/>
      <c r="I88" s="211"/>
      <c r="J88" s="225"/>
      <c r="K88" s="225">
        <v>40600</v>
      </c>
      <c r="L88" s="226" t="s">
        <v>799</v>
      </c>
    </row>
    <row r="89" spans="1:13" x14ac:dyDescent="0.2">
      <c r="A89" s="222"/>
      <c r="B89" s="233"/>
      <c r="C89" s="228"/>
      <c r="D89" s="229"/>
      <c r="E89" s="39"/>
      <c r="G89" s="224"/>
      <c r="H89" s="230" t="s">
        <v>752</v>
      </c>
      <c r="I89" s="211"/>
      <c r="J89" s="231">
        <f>SUM(J87:J87)</f>
        <v>0</v>
      </c>
      <c r="K89" s="231">
        <f>SUM(K87:K88)</f>
        <v>50600</v>
      </c>
      <c r="L89" s="232"/>
    </row>
    <row r="90" spans="1:13" ht="16" thickBot="1" x14ac:dyDescent="0.25">
      <c r="A90" s="234" t="s">
        <v>606</v>
      </c>
      <c r="B90" s="235">
        <f>SUM(B87:B88)</f>
        <v>-1680957.0000000002</v>
      </c>
      <c r="C90" s="228" t="s">
        <v>753</v>
      </c>
      <c r="D90" s="229"/>
      <c r="E90" s="39"/>
      <c r="G90" s="220" t="s">
        <v>580</v>
      </c>
      <c r="H90" s="211"/>
      <c r="I90" s="211"/>
      <c r="J90" s="225"/>
      <c r="K90" s="225"/>
      <c r="L90" s="226"/>
    </row>
    <row r="91" spans="1:13" x14ac:dyDescent="0.2">
      <c r="A91" s="222"/>
      <c r="B91" s="218"/>
      <c r="C91" s="219"/>
      <c r="D91" s="172"/>
      <c r="E91" s="39"/>
      <c r="G91" s="224" t="s">
        <v>754</v>
      </c>
      <c r="H91" s="211"/>
      <c r="I91" s="211"/>
      <c r="J91" s="225">
        <v>5000</v>
      </c>
      <c r="K91" s="225">
        <v>5000</v>
      </c>
      <c r="L91" s="226" t="s">
        <v>749</v>
      </c>
    </row>
    <row r="92" spans="1:13" x14ac:dyDescent="0.2">
      <c r="A92" s="222"/>
      <c r="B92" s="218"/>
      <c r="C92" s="219"/>
      <c r="D92" s="172"/>
      <c r="E92" s="39"/>
      <c r="G92" s="224" t="s">
        <v>755</v>
      </c>
      <c r="H92" s="211"/>
      <c r="I92" s="211"/>
      <c r="J92" s="225">
        <v>50000</v>
      </c>
      <c r="K92" s="225">
        <v>50000</v>
      </c>
      <c r="L92" s="226" t="s">
        <v>749</v>
      </c>
    </row>
    <row r="93" spans="1:13" ht="16" x14ac:dyDescent="0.2">
      <c r="A93" s="217" t="s">
        <v>756</v>
      </c>
      <c r="B93" s="218"/>
      <c r="C93" s="219"/>
      <c r="D93" s="172"/>
      <c r="E93" s="39"/>
      <c r="G93" s="224"/>
      <c r="H93" s="230" t="s">
        <v>752</v>
      </c>
      <c r="I93" s="211"/>
      <c r="J93" s="231">
        <f>SUM(J91:J92)</f>
        <v>55000</v>
      </c>
      <c r="K93" s="231">
        <f>SUM(K91:K92)</f>
        <v>55000</v>
      </c>
      <c r="L93" s="232"/>
    </row>
    <row r="94" spans="1:13" x14ac:dyDescent="0.2">
      <c r="A94" s="222" t="s">
        <v>757</v>
      </c>
      <c r="B94" s="236">
        <v>1385629.9800000002</v>
      </c>
      <c r="C94" s="219"/>
      <c r="D94" s="172"/>
      <c r="E94" s="39"/>
      <c r="G94" s="220" t="s">
        <v>581</v>
      </c>
      <c r="H94" s="211"/>
      <c r="I94" s="211"/>
      <c r="J94" s="225"/>
      <c r="K94" s="225"/>
      <c r="L94" s="226"/>
    </row>
    <row r="95" spans="1:13" x14ac:dyDescent="0.2">
      <c r="A95" s="222" t="s">
        <v>759</v>
      </c>
      <c r="B95" s="236">
        <v>540000</v>
      </c>
      <c r="C95" s="219"/>
      <c r="D95" s="172"/>
      <c r="E95" s="39"/>
      <c r="G95" s="224" t="s">
        <v>758</v>
      </c>
      <c r="H95" s="211"/>
      <c r="I95" s="211"/>
      <c r="J95" s="225">
        <v>19859</v>
      </c>
      <c r="K95" s="225">
        <v>19859</v>
      </c>
      <c r="L95" s="226" t="s">
        <v>749</v>
      </c>
    </row>
    <row r="96" spans="1:13" x14ac:dyDescent="0.2">
      <c r="A96" s="222" t="s">
        <v>760</v>
      </c>
      <c r="B96" s="236">
        <v>100000</v>
      </c>
      <c r="C96" s="219"/>
      <c r="D96" s="172"/>
      <c r="E96" s="39"/>
      <c r="G96" s="224" t="s">
        <v>800</v>
      </c>
      <c r="H96" s="211"/>
      <c r="I96" s="211"/>
      <c r="J96" s="225"/>
      <c r="K96" s="225">
        <v>50000</v>
      </c>
      <c r="L96" s="226" t="s">
        <v>799</v>
      </c>
    </row>
    <row r="97" spans="1:12" x14ac:dyDescent="0.2">
      <c r="A97" s="222" t="s">
        <v>814</v>
      </c>
      <c r="B97" s="236">
        <v>100000</v>
      </c>
      <c r="C97" s="219"/>
      <c r="D97" s="172"/>
      <c r="E97" s="39"/>
      <c r="G97" s="224"/>
      <c r="H97" s="211"/>
      <c r="I97" s="211"/>
      <c r="J97" s="340"/>
      <c r="K97" s="340"/>
      <c r="L97" s="341"/>
    </row>
    <row r="98" spans="1:12" ht="16" thickBot="1" x14ac:dyDescent="0.25">
      <c r="A98" s="234" t="s">
        <v>606</v>
      </c>
      <c r="B98" s="235">
        <f>SUM(B94:B97)</f>
        <v>2125629.9800000004</v>
      </c>
      <c r="C98" s="228" t="s">
        <v>762</v>
      </c>
      <c r="D98" s="229"/>
      <c r="E98" s="39"/>
      <c r="G98" s="224"/>
      <c r="H98" s="230" t="s">
        <v>752</v>
      </c>
      <c r="I98" s="211"/>
      <c r="J98" s="232">
        <f>SUM(J95)</f>
        <v>19859</v>
      </c>
      <c r="K98" s="232">
        <f>SUM(K95)</f>
        <v>19859</v>
      </c>
      <c r="L98" s="232"/>
    </row>
    <row r="99" spans="1:12" x14ac:dyDescent="0.2">
      <c r="A99" s="222"/>
      <c r="B99" s="218"/>
      <c r="C99" s="219"/>
      <c r="D99" s="172"/>
      <c r="E99" s="39"/>
      <c r="G99" s="220" t="s">
        <v>761</v>
      </c>
      <c r="H99" s="211"/>
      <c r="I99" s="211"/>
      <c r="J99" s="225"/>
      <c r="K99" s="225"/>
      <c r="L99" s="226"/>
    </row>
    <row r="100" spans="1:12" x14ac:dyDescent="0.2">
      <c r="A100" s="234" t="s">
        <v>765</v>
      </c>
      <c r="B100" s="237">
        <f>B90+B98</f>
        <v>444672.98000000021</v>
      </c>
      <c r="C100" s="228" t="s">
        <v>766</v>
      </c>
      <c r="D100" s="229"/>
      <c r="E100" s="39"/>
      <c r="G100" s="224" t="s">
        <v>763</v>
      </c>
      <c r="H100" s="211"/>
      <c r="I100" s="211"/>
      <c r="J100" s="225">
        <v>40000</v>
      </c>
      <c r="K100" s="225">
        <v>37000</v>
      </c>
      <c r="L100" s="226" t="s">
        <v>749</v>
      </c>
    </row>
    <row r="101" spans="1:12" x14ac:dyDescent="0.2">
      <c r="A101" s="222"/>
      <c r="B101" s="223"/>
      <c r="C101" s="219"/>
      <c r="D101" s="172"/>
      <c r="E101" s="39"/>
      <c r="G101" s="224" t="s">
        <v>764</v>
      </c>
      <c r="H101" s="211"/>
      <c r="I101" s="211"/>
      <c r="J101" s="225">
        <v>35000</v>
      </c>
      <c r="K101" s="225">
        <v>30000</v>
      </c>
      <c r="L101" s="226" t="s">
        <v>749</v>
      </c>
    </row>
    <row r="102" spans="1:12" ht="16" x14ac:dyDescent="0.2">
      <c r="A102" s="217" t="s">
        <v>767</v>
      </c>
      <c r="B102" s="218"/>
      <c r="C102" s="219"/>
      <c r="D102" s="172"/>
      <c r="E102" s="39"/>
      <c r="G102" s="224"/>
      <c r="H102" s="230" t="s">
        <v>752</v>
      </c>
      <c r="I102" s="211"/>
      <c r="J102" s="231">
        <f>SUM(J100:J101)</f>
        <v>75000</v>
      </c>
      <c r="K102" s="231">
        <f>SUM(K100:K101)</f>
        <v>67000</v>
      </c>
      <c r="L102" s="232"/>
    </row>
    <row r="103" spans="1:12" x14ac:dyDescent="0.2">
      <c r="A103" s="222" t="s">
        <v>815</v>
      </c>
      <c r="B103" s="236">
        <v>950000</v>
      </c>
      <c r="C103" s="219"/>
      <c r="D103" s="172"/>
      <c r="E103" s="39"/>
      <c r="G103" s="220" t="s">
        <v>643</v>
      </c>
      <c r="H103" s="211"/>
      <c r="I103" s="211"/>
      <c r="J103" s="225"/>
      <c r="K103" s="225"/>
      <c r="L103" s="226"/>
    </row>
    <row r="104" spans="1:12" x14ac:dyDescent="0.2">
      <c r="A104" s="222" t="s">
        <v>816</v>
      </c>
      <c r="B104" s="236">
        <f>10207.05+86204.96+225896.48</f>
        <v>322308.49</v>
      </c>
      <c r="C104" s="219"/>
      <c r="D104" s="172"/>
      <c r="E104" s="39"/>
      <c r="G104" s="224" t="s">
        <v>768</v>
      </c>
      <c r="H104" s="211"/>
      <c r="I104" s="211"/>
      <c r="J104" s="225">
        <v>35000</v>
      </c>
      <c r="K104" s="225">
        <v>35000</v>
      </c>
      <c r="L104" s="226" t="s">
        <v>749</v>
      </c>
    </row>
    <row r="105" spans="1:12" x14ac:dyDescent="0.2">
      <c r="A105" s="222" t="s">
        <v>817</v>
      </c>
      <c r="B105" s="236">
        <f>565416.42-412184+170000-100000</f>
        <v>223232.42000000004</v>
      </c>
      <c r="C105" s="219"/>
      <c r="D105" s="172"/>
      <c r="E105" s="39"/>
      <c r="G105" s="224" t="s">
        <v>769</v>
      </c>
      <c r="H105" s="211"/>
      <c r="I105" s="211"/>
      <c r="J105" s="225">
        <v>18000</v>
      </c>
      <c r="K105" s="225">
        <v>18000</v>
      </c>
      <c r="L105" s="226" t="s">
        <v>749</v>
      </c>
    </row>
    <row r="106" spans="1:12" x14ac:dyDescent="0.2">
      <c r="A106" s="222" t="s">
        <v>771</v>
      </c>
      <c r="B106" s="236">
        <f>283966+50000</f>
        <v>333966</v>
      </c>
      <c r="C106" s="219"/>
      <c r="D106" s="172"/>
      <c r="E106" s="39"/>
      <c r="G106" s="224" t="s">
        <v>770</v>
      </c>
      <c r="H106" s="211"/>
      <c r="I106" s="211"/>
      <c r="J106" s="225"/>
      <c r="K106" s="225">
        <v>40000</v>
      </c>
      <c r="L106" s="226" t="s">
        <v>749</v>
      </c>
    </row>
    <row r="107" spans="1:12" ht="16" thickBot="1" x14ac:dyDescent="0.25">
      <c r="A107" s="234" t="s">
        <v>606</v>
      </c>
      <c r="B107" s="238">
        <f>SUM(B103:B106)</f>
        <v>1829506.9100000001</v>
      </c>
      <c r="C107" s="219"/>
      <c r="D107" s="172"/>
      <c r="E107" s="39"/>
      <c r="G107" s="224"/>
      <c r="H107" s="230" t="s">
        <v>752</v>
      </c>
      <c r="I107" s="211"/>
      <c r="J107" s="231">
        <f>SUM(J104:J106)</f>
        <v>53000</v>
      </c>
      <c r="K107" s="231">
        <f>SUM(K104:K106)</f>
        <v>93000</v>
      </c>
      <c r="L107" s="232"/>
    </row>
    <row r="108" spans="1:12" x14ac:dyDescent="0.2">
      <c r="A108" s="240" t="s">
        <v>775</v>
      </c>
      <c r="B108" s="233"/>
      <c r="C108" s="241"/>
      <c r="D108" s="172"/>
      <c r="E108" s="39"/>
      <c r="G108" s="220" t="s">
        <v>772</v>
      </c>
      <c r="H108" s="211"/>
      <c r="I108" s="211"/>
      <c r="J108" s="225"/>
      <c r="K108" s="225"/>
      <c r="L108" s="226"/>
    </row>
    <row r="109" spans="1:12" x14ac:dyDescent="0.2">
      <c r="A109" s="242"/>
      <c r="B109" s="242"/>
      <c r="C109" s="242"/>
      <c r="D109" s="243"/>
      <c r="E109" s="243"/>
      <c r="G109" s="239" t="s">
        <v>773</v>
      </c>
      <c r="H109" s="211"/>
      <c r="I109" s="211"/>
      <c r="J109" s="225">
        <v>513330</v>
      </c>
      <c r="K109" s="225">
        <f>-B113</f>
        <v>395498</v>
      </c>
      <c r="L109" s="226" t="s">
        <v>774</v>
      </c>
    </row>
    <row r="110" spans="1:12" x14ac:dyDescent="0.2">
      <c r="A110" s="243"/>
      <c r="B110" s="243"/>
      <c r="C110" s="243"/>
      <c r="D110" s="243"/>
      <c r="E110" s="243"/>
      <c r="G110" s="224"/>
      <c r="H110" s="211"/>
      <c r="I110" s="211"/>
      <c r="J110" s="225"/>
      <c r="K110" s="225"/>
      <c r="L110" s="226"/>
    </row>
    <row r="111" spans="1:12" ht="16" thickBot="1" x14ac:dyDescent="0.25">
      <c r="D111" s="39"/>
      <c r="E111" s="39"/>
      <c r="G111" s="220"/>
      <c r="H111" s="230" t="s">
        <v>752</v>
      </c>
      <c r="I111" s="211"/>
      <c r="J111" s="231">
        <f>SUM(J109:J110)</f>
        <v>513330</v>
      </c>
      <c r="K111" s="231">
        <f>SUM(K109:K110)</f>
        <v>395498</v>
      </c>
      <c r="L111" s="232"/>
    </row>
    <row r="112" spans="1:12" ht="17" thickBot="1" x14ac:dyDescent="0.25">
      <c r="A112" s="248" t="s">
        <v>777</v>
      </c>
      <c r="B112" s="249"/>
      <c r="C112" s="250"/>
      <c r="D112" s="172"/>
      <c r="E112" s="39"/>
      <c r="G112" s="244" t="s">
        <v>606</v>
      </c>
      <c r="H112" s="245"/>
      <c r="I112" s="245" t="s">
        <v>776</v>
      </c>
      <c r="J112" s="246">
        <f>J111+J107+J102+J98+J93</f>
        <v>716189</v>
      </c>
      <c r="K112" s="246">
        <f>K111+K107+K102+K98+K93+K89</f>
        <v>680957</v>
      </c>
      <c r="L112" s="247" t="s">
        <v>776</v>
      </c>
    </row>
    <row r="113" spans="1:12" ht="17" thickBot="1" x14ac:dyDescent="0.25">
      <c r="A113" s="254" t="s">
        <v>779</v>
      </c>
      <c r="B113" s="255">
        <v>-395498</v>
      </c>
      <c r="C113" s="256"/>
      <c r="D113" s="172"/>
      <c r="E113" s="39"/>
      <c r="K113" s="171"/>
    </row>
    <row r="114" spans="1:12" x14ac:dyDescent="0.2">
      <c r="A114" s="260" t="s">
        <v>781</v>
      </c>
      <c r="B114" s="261">
        <v>170000</v>
      </c>
      <c r="C114" s="256"/>
      <c r="D114" s="172"/>
      <c r="E114" s="39"/>
      <c r="J114" s="251" t="s">
        <v>778</v>
      </c>
      <c r="K114" s="252">
        <f>K111</f>
        <v>395498</v>
      </c>
      <c r="L114" s="253"/>
    </row>
    <row r="115" spans="1:12" ht="16" thickBot="1" x14ac:dyDescent="0.25">
      <c r="A115" s="260" t="s">
        <v>782</v>
      </c>
      <c r="B115" s="261">
        <v>61600</v>
      </c>
      <c r="C115" s="256"/>
      <c r="D115" s="172"/>
      <c r="E115" s="39"/>
      <c r="J115" s="257" t="s">
        <v>780</v>
      </c>
      <c r="K115" s="258">
        <f>K112-K114</f>
        <v>285459</v>
      </c>
      <c r="L115" s="259"/>
    </row>
    <row r="116" spans="1:12" ht="15.75" customHeight="1" x14ac:dyDescent="0.2">
      <c r="A116" s="260" t="s">
        <v>783</v>
      </c>
      <c r="B116" s="261">
        <v>61600</v>
      </c>
      <c r="C116" s="256"/>
      <c r="D116" s="172"/>
      <c r="E116" s="39"/>
      <c r="F116" s="171"/>
      <c r="J116" s="262"/>
      <c r="K116" s="263"/>
      <c r="L116" s="172"/>
    </row>
    <row r="117" spans="1:12" ht="15.75" customHeight="1" x14ac:dyDescent="0.2">
      <c r="A117" s="260" t="s">
        <v>784</v>
      </c>
      <c r="B117" s="261">
        <v>50000</v>
      </c>
      <c r="C117" s="256"/>
      <c r="F117" s="171"/>
    </row>
    <row r="118" spans="1:12" ht="16" thickBot="1" x14ac:dyDescent="0.25">
      <c r="A118" s="264" t="s">
        <v>785</v>
      </c>
      <c r="B118" s="265">
        <v>52298</v>
      </c>
      <c r="C118" s="266"/>
    </row>
    <row r="119" spans="1:12" x14ac:dyDescent="0.2">
      <c r="A119" s="267"/>
    </row>
    <row r="121" spans="1:12" ht="18.75" customHeight="1" x14ac:dyDescent="0.2"/>
    <row r="123" spans="1:12" ht="18" customHeight="1" x14ac:dyDescent="0.2">
      <c r="D123" s="211"/>
    </row>
    <row r="124" spans="1:12" ht="18.75" customHeight="1" x14ac:dyDescent="0.2"/>
    <row r="125" spans="1:12" ht="15" customHeight="1" x14ac:dyDescent="0.2"/>
  </sheetData>
  <mergeCells count="3">
    <mergeCell ref="A1:H1"/>
    <mergeCell ref="A2:H2"/>
    <mergeCell ref="G85:L85"/>
  </mergeCells>
  <phoneticPr fontId="56" type="noConversion"/>
  <pageMargins left="0.45" right="0.45" top="0.5" bottom="0.5" header="0.3" footer="0.3"/>
  <pageSetup paperSize="5" scale="70" orientation="landscape" r:id="rId1"/>
  <headerFooter>
    <oddFooter>&amp;RPage 2</oddFooter>
  </headerFooter>
  <rowBreaks count="1" manualBreakCount="1">
    <brk id="70" max="7" man="1"/>
  </row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499984740745262"/>
    <pageSetUpPr fitToPage="1"/>
  </sheetPr>
  <dimension ref="A1:U92"/>
  <sheetViews>
    <sheetView tabSelected="1" view="pageLayout" zoomScale="181" zoomScaleNormal="70" zoomScalePageLayoutView="70" workbookViewId="0">
      <selection activeCell="D2" sqref="D2"/>
    </sheetView>
  </sheetViews>
  <sheetFormatPr baseColWidth="10" defaultColWidth="8.83203125" defaultRowHeight="15" x14ac:dyDescent="0.2"/>
  <cols>
    <col min="1" max="1" width="10" style="32" bestFit="1" customWidth="1"/>
    <col min="2" max="2" width="13" style="33" customWidth="1"/>
    <col min="3" max="3" width="7.6640625" style="33" hidden="1" customWidth="1"/>
    <col min="4" max="4" width="15" style="33" bestFit="1" customWidth="1"/>
    <col min="5" max="5" width="17.5" style="33" customWidth="1"/>
    <col min="6" max="6" width="1.5" style="38" hidden="1" customWidth="1"/>
    <col min="7" max="7" width="15" style="33" customWidth="1"/>
    <col min="8" max="8" width="55.6640625" style="33" customWidth="1"/>
    <col min="9" max="9" width="13.33203125" style="33" customWidth="1"/>
    <col min="10" max="10" width="6.5" style="33" hidden="1" customWidth="1"/>
    <col min="11" max="11" width="11" style="33" hidden="1" customWidth="1"/>
    <col min="12" max="12" width="6.33203125" style="38" hidden="1" customWidth="1"/>
    <col min="13" max="13" width="5.83203125" style="38" hidden="1" customWidth="1"/>
    <col min="14" max="14" width="11.5" style="33" customWidth="1"/>
    <col min="15" max="15" width="6.6640625" style="38" hidden="1" customWidth="1"/>
    <col min="16" max="16" width="26.5" style="33" bestFit="1" customWidth="1"/>
    <col min="17" max="17" width="5.5" style="33" hidden="1" customWidth="1"/>
    <col min="18" max="18" width="17" style="32" bestFit="1" customWidth="1"/>
    <col min="19" max="19" width="22" style="32" customWidth="1"/>
    <col min="20" max="20" width="16.1640625" style="32" customWidth="1"/>
    <col min="21" max="21" width="17.6640625" style="32" customWidth="1"/>
    <col min="22" max="16384" width="8.83203125" style="32"/>
  </cols>
  <sheetData>
    <row r="1" spans="1:21" ht="25" thickBot="1" x14ac:dyDescent="0.25">
      <c r="A1" s="386" t="s">
        <v>575</v>
      </c>
      <c r="B1" s="386"/>
      <c r="C1" s="386"/>
      <c r="D1" s="386"/>
      <c r="E1" s="386"/>
      <c r="F1" s="386"/>
      <c r="G1" s="386"/>
      <c r="H1" s="386"/>
      <c r="I1" s="386"/>
      <c r="J1" s="386"/>
      <c r="K1" s="386"/>
      <c r="L1" s="386"/>
      <c r="M1" s="386"/>
      <c r="N1" s="386"/>
      <c r="O1" s="386"/>
      <c r="P1" s="16"/>
      <c r="Q1" s="16"/>
      <c r="R1" s="387" t="s">
        <v>583</v>
      </c>
      <c r="S1" s="388"/>
      <c r="T1" s="389" t="s">
        <v>584</v>
      </c>
      <c r="U1" s="390"/>
    </row>
    <row r="2" spans="1:21" ht="75.75" customHeight="1" thickBot="1" x14ac:dyDescent="0.25">
      <c r="A2" s="5" t="s">
        <v>382</v>
      </c>
      <c r="B2" s="6" t="s">
        <v>383</v>
      </c>
      <c r="C2" s="7" t="s">
        <v>0</v>
      </c>
      <c r="D2" s="368" t="s">
        <v>384</v>
      </c>
      <c r="E2" s="6" t="s">
        <v>385</v>
      </c>
      <c r="F2" s="8" t="s">
        <v>374</v>
      </c>
      <c r="G2" s="5" t="s">
        <v>386</v>
      </c>
      <c r="H2" s="6" t="s">
        <v>1</v>
      </c>
      <c r="I2" s="6" t="s">
        <v>387</v>
      </c>
      <c r="J2" s="9" t="s">
        <v>388</v>
      </c>
      <c r="K2" s="6" t="s">
        <v>389</v>
      </c>
      <c r="L2" s="9" t="s">
        <v>390</v>
      </c>
      <c r="M2" s="9" t="s">
        <v>391</v>
      </c>
      <c r="N2" s="10" t="s">
        <v>392</v>
      </c>
      <c r="O2" s="8" t="s">
        <v>2</v>
      </c>
      <c r="P2" s="10" t="s">
        <v>393</v>
      </c>
      <c r="Q2" s="73" t="s">
        <v>3</v>
      </c>
      <c r="R2" s="74" t="s">
        <v>585</v>
      </c>
      <c r="S2" s="75" t="s">
        <v>586</v>
      </c>
      <c r="T2" s="60" t="s">
        <v>587</v>
      </c>
      <c r="U2" s="366" t="s">
        <v>586</v>
      </c>
    </row>
    <row r="3" spans="1:21" ht="30" customHeight="1" x14ac:dyDescent="0.2">
      <c r="A3" s="378" t="s">
        <v>674</v>
      </c>
      <c r="B3" s="379"/>
      <c r="C3" s="379"/>
      <c r="D3" s="379"/>
      <c r="E3" s="379"/>
      <c r="F3" s="379"/>
      <c r="G3" s="379"/>
      <c r="H3" s="379"/>
      <c r="I3" s="379"/>
      <c r="J3" s="379"/>
      <c r="K3" s="379"/>
      <c r="L3" s="379"/>
      <c r="M3" s="379"/>
      <c r="N3" s="379"/>
      <c r="O3" s="379"/>
      <c r="P3" s="379"/>
      <c r="Q3" s="379"/>
      <c r="R3" s="379"/>
      <c r="S3" s="379"/>
      <c r="T3" s="379"/>
      <c r="U3" s="379"/>
    </row>
    <row r="4" spans="1:21" ht="30" customHeight="1" x14ac:dyDescent="0.2">
      <c r="A4" s="391" t="s">
        <v>579</v>
      </c>
      <c r="B4" s="392"/>
      <c r="C4" s="392"/>
      <c r="D4" s="392"/>
      <c r="E4" s="392"/>
      <c r="F4" s="392"/>
      <c r="G4" s="393"/>
      <c r="H4" s="6"/>
      <c r="I4" s="6"/>
      <c r="J4" s="9"/>
      <c r="K4" s="6"/>
      <c r="L4" s="9"/>
      <c r="M4" s="9"/>
      <c r="N4" s="10"/>
      <c r="O4" s="8"/>
      <c r="P4" s="10"/>
      <c r="Q4" s="8"/>
      <c r="R4" s="48"/>
      <c r="S4" s="48"/>
      <c r="T4" s="62"/>
      <c r="U4" s="63"/>
    </row>
    <row r="5" spans="1:21" ht="109.5" customHeight="1" x14ac:dyDescent="0.2">
      <c r="A5" s="11" t="s">
        <v>615</v>
      </c>
      <c r="B5" s="12" t="s">
        <v>312</v>
      </c>
      <c r="C5" s="12">
        <v>51310</v>
      </c>
      <c r="D5" s="12" t="s">
        <v>313</v>
      </c>
      <c r="E5" s="12" t="s">
        <v>314</v>
      </c>
      <c r="F5" s="13" t="s">
        <v>375</v>
      </c>
      <c r="G5" s="12" t="s">
        <v>315</v>
      </c>
      <c r="H5" s="12" t="s">
        <v>533</v>
      </c>
      <c r="I5" s="12" t="s">
        <v>8</v>
      </c>
      <c r="J5" s="12"/>
      <c r="K5" s="12" t="s">
        <v>26</v>
      </c>
      <c r="L5" s="13" t="s">
        <v>380</v>
      </c>
      <c r="M5" s="13" t="s">
        <v>380</v>
      </c>
      <c r="N5" s="14">
        <v>60000</v>
      </c>
      <c r="O5" s="13">
        <v>1</v>
      </c>
      <c r="P5" s="14">
        <v>60000</v>
      </c>
      <c r="Q5" s="45">
        <v>1654</v>
      </c>
      <c r="R5" s="49">
        <v>45000</v>
      </c>
      <c r="S5" s="69" t="s">
        <v>588</v>
      </c>
      <c r="T5" s="64">
        <f>R5</f>
        <v>45000</v>
      </c>
      <c r="U5" s="64"/>
    </row>
    <row r="6" spans="1:21" ht="180" x14ac:dyDescent="0.2">
      <c r="A6" s="11" t="s">
        <v>397</v>
      </c>
      <c r="B6" s="12" t="s">
        <v>48</v>
      </c>
      <c r="C6" s="12">
        <v>51310</v>
      </c>
      <c r="D6" s="12" t="s">
        <v>49</v>
      </c>
      <c r="E6" s="12" t="s">
        <v>50</v>
      </c>
      <c r="F6" s="13" t="s">
        <v>375</v>
      </c>
      <c r="G6" s="12" t="s">
        <v>57</v>
      </c>
      <c r="H6" s="12" t="s">
        <v>58</v>
      </c>
      <c r="I6" s="12" t="s">
        <v>8</v>
      </c>
      <c r="J6" s="12"/>
      <c r="K6" s="12" t="s">
        <v>26</v>
      </c>
      <c r="L6" s="13" t="s">
        <v>380</v>
      </c>
      <c r="M6" s="13" t="s">
        <v>381</v>
      </c>
      <c r="N6" s="14">
        <v>170000</v>
      </c>
      <c r="O6" s="13">
        <v>1</v>
      </c>
      <c r="P6" s="14">
        <v>170000</v>
      </c>
      <c r="Q6" s="45">
        <v>1598</v>
      </c>
      <c r="R6" s="49">
        <v>170000</v>
      </c>
      <c r="S6" s="70"/>
      <c r="T6" s="64">
        <f t="shared" ref="T6:T40" si="0">R6</f>
        <v>170000</v>
      </c>
      <c r="U6" s="64"/>
    </row>
    <row r="7" spans="1:21" ht="272.25" customHeight="1" x14ac:dyDescent="0.2">
      <c r="A7" s="11" t="s">
        <v>399</v>
      </c>
      <c r="B7" s="12" t="s">
        <v>211</v>
      </c>
      <c r="C7" s="12">
        <v>51310</v>
      </c>
      <c r="D7" s="12" t="s">
        <v>212</v>
      </c>
      <c r="E7" s="12" t="s">
        <v>213</v>
      </c>
      <c r="F7" s="13" t="s">
        <v>375</v>
      </c>
      <c r="G7" s="12" t="s">
        <v>214</v>
      </c>
      <c r="H7" s="12" t="s">
        <v>534</v>
      </c>
      <c r="I7" s="12" t="s">
        <v>8</v>
      </c>
      <c r="J7" s="12">
        <v>1.2</v>
      </c>
      <c r="K7" s="12" t="s">
        <v>26</v>
      </c>
      <c r="L7" s="13" t="s">
        <v>380</v>
      </c>
      <c r="M7" s="13" t="s">
        <v>380</v>
      </c>
      <c r="N7" s="14">
        <v>8250</v>
      </c>
      <c r="O7" s="13">
        <v>1</v>
      </c>
      <c r="P7" s="14">
        <v>8250</v>
      </c>
      <c r="Q7" s="45">
        <v>1413</v>
      </c>
      <c r="R7" s="49">
        <v>6000</v>
      </c>
      <c r="S7" s="70"/>
      <c r="T7" s="64">
        <f t="shared" si="0"/>
        <v>6000</v>
      </c>
      <c r="U7" s="64"/>
    </row>
    <row r="8" spans="1:21" ht="184.5" customHeight="1" x14ac:dyDescent="0.2">
      <c r="A8" s="11" t="s">
        <v>400</v>
      </c>
      <c r="B8" s="12" t="s">
        <v>211</v>
      </c>
      <c r="C8" s="12">
        <v>51310</v>
      </c>
      <c r="D8" s="12" t="s">
        <v>215</v>
      </c>
      <c r="E8" s="12" t="s">
        <v>216</v>
      </c>
      <c r="F8" s="13" t="s">
        <v>375</v>
      </c>
      <c r="G8" s="12" t="s">
        <v>217</v>
      </c>
      <c r="H8" s="12" t="s">
        <v>535</v>
      </c>
      <c r="I8" s="12" t="s">
        <v>8</v>
      </c>
      <c r="J8" s="12">
        <v>1.2</v>
      </c>
      <c r="K8" s="12" t="s">
        <v>26</v>
      </c>
      <c r="L8" s="13" t="s">
        <v>380</v>
      </c>
      <c r="M8" s="13" t="s">
        <v>380</v>
      </c>
      <c r="N8" s="14">
        <v>5600</v>
      </c>
      <c r="O8" s="13">
        <v>1</v>
      </c>
      <c r="P8" s="14">
        <v>5600</v>
      </c>
      <c r="Q8" s="45">
        <v>1423</v>
      </c>
      <c r="R8" s="49">
        <v>5000</v>
      </c>
      <c r="S8" s="70"/>
      <c r="T8" s="64">
        <f t="shared" si="0"/>
        <v>5000</v>
      </c>
      <c r="U8" s="64"/>
    </row>
    <row r="9" spans="1:21" ht="180" x14ac:dyDescent="0.2">
      <c r="A9" s="11" t="s">
        <v>404</v>
      </c>
      <c r="B9" s="12" t="s">
        <v>211</v>
      </c>
      <c r="C9" s="12">
        <v>51130</v>
      </c>
      <c r="D9" s="12" t="s">
        <v>218</v>
      </c>
      <c r="E9" s="12" t="s">
        <v>219</v>
      </c>
      <c r="F9" s="13" t="s">
        <v>375</v>
      </c>
      <c r="G9" s="12" t="s">
        <v>224</v>
      </c>
      <c r="H9" s="12" t="s">
        <v>223</v>
      </c>
      <c r="I9" s="12" t="s">
        <v>8</v>
      </c>
      <c r="J9" s="12">
        <v>1.2</v>
      </c>
      <c r="K9" s="12" t="s">
        <v>29</v>
      </c>
      <c r="L9" s="13" t="s">
        <v>380</v>
      </c>
      <c r="M9" s="13" t="s">
        <v>380</v>
      </c>
      <c r="N9" s="14">
        <v>16484</v>
      </c>
      <c r="O9" s="13">
        <v>1</v>
      </c>
      <c r="P9" s="14">
        <v>16484</v>
      </c>
      <c r="Q9" s="45">
        <v>1456</v>
      </c>
      <c r="R9" s="49">
        <v>0</v>
      </c>
      <c r="S9" s="71" t="s">
        <v>589</v>
      </c>
      <c r="T9" s="64">
        <f t="shared" si="0"/>
        <v>0</v>
      </c>
      <c r="U9" s="64"/>
    </row>
    <row r="10" spans="1:21" ht="105" x14ac:dyDescent="0.2">
      <c r="A10" s="11" t="s">
        <v>460</v>
      </c>
      <c r="B10" s="12" t="s">
        <v>211</v>
      </c>
      <c r="C10" s="12">
        <v>54110</v>
      </c>
      <c r="D10" s="12" t="s">
        <v>225</v>
      </c>
      <c r="E10" s="12" t="s">
        <v>226</v>
      </c>
      <c r="F10" s="13" t="s">
        <v>375</v>
      </c>
      <c r="G10" s="12" t="s">
        <v>230</v>
      </c>
      <c r="H10" s="12" t="s">
        <v>231</v>
      </c>
      <c r="I10" s="12" t="s">
        <v>22</v>
      </c>
      <c r="J10" s="12" t="s">
        <v>228</v>
      </c>
      <c r="K10" s="12" t="s">
        <v>29</v>
      </c>
      <c r="L10" s="13" t="s">
        <v>380</v>
      </c>
      <c r="M10" s="13" t="s">
        <v>380</v>
      </c>
      <c r="N10" s="14">
        <v>2000</v>
      </c>
      <c r="O10" s="13">
        <v>1</v>
      </c>
      <c r="P10" s="14">
        <v>2000</v>
      </c>
      <c r="Q10" s="45">
        <v>1460</v>
      </c>
      <c r="R10" s="49">
        <v>2000</v>
      </c>
      <c r="S10" s="70"/>
      <c r="T10" s="64">
        <f t="shared" si="0"/>
        <v>2000</v>
      </c>
      <c r="U10" s="64"/>
    </row>
    <row r="11" spans="1:21" ht="211.5" customHeight="1" x14ac:dyDescent="0.2">
      <c r="A11" s="11" t="s">
        <v>405</v>
      </c>
      <c r="B11" s="12" t="s">
        <v>211</v>
      </c>
      <c r="C11" s="12">
        <v>51310</v>
      </c>
      <c r="D11" s="12" t="s">
        <v>225</v>
      </c>
      <c r="E11" s="12" t="s">
        <v>226</v>
      </c>
      <c r="F11" s="13" t="s">
        <v>375</v>
      </c>
      <c r="G11" s="12" t="s">
        <v>229</v>
      </c>
      <c r="H11" s="12" t="s">
        <v>624</v>
      </c>
      <c r="I11" s="12" t="s">
        <v>8</v>
      </c>
      <c r="J11" s="12" t="s">
        <v>228</v>
      </c>
      <c r="K11" s="12" t="s">
        <v>26</v>
      </c>
      <c r="L11" s="13" t="s">
        <v>380</v>
      </c>
      <c r="M11" s="13" t="s">
        <v>381</v>
      </c>
      <c r="N11" s="14">
        <v>750</v>
      </c>
      <c r="O11" s="13">
        <v>1</v>
      </c>
      <c r="P11" s="14">
        <v>750</v>
      </c>
      <c r="Q11" s="45">
        <v>1460</v>
      </c>
      <c r="R11" s="49">
        <v>0</v>
      </c>
      <c r="S11" s="70"/>
      <c r="T11" s="64">
        <f t="shared" si="0"/>
        <v>0</v>
      </c>
      <c r="U11" s="64"/>
    </row>
    <row r="12" spans="1:21" ht="60" x14ac:dyDescent="0.2">
      <c r="A12" s="11" t="s">
        <v>407</v>
      </c>
      <c r="B12" s="12" t="s">
        <v>269</v>
      </c>
      <c r="C12" s="12">
        <v>51310</v>
      </c>
      <c r="D12" s="12" t="s">
        <v>270</v>
      </c>
      <c r="E12" s="12" t="s">
        <v>271</v>
      </c>
      <c r="F12" s="13" t="s">
        <v>375</v>
      </c>
      <c r="G12" s="12" t="s">
        <v>272</v>
      </c>
      <c r="H12" s="12" t="s">
        <v>273</v>
      </c>
      <c r="I12" s="12" t="s">
        <v>8</v>
      </c>
      <c r="J12" s="12"/>
      <c r="K12" s="12" t="s">
        <v>81</v>
      </c>
      <c r="L12" s="13" t="s">
        <v>381</v>
      </c>
      <c r="M12" s="13" t="s">
        <v>380</v>
      </c>
      <c r="N12" s="14">
        <v>7000</v>
      </c>
      <c r="O12" s="13">
        <v>1</v>
      </c>
      <c r="P12" s="14">
        <v>7000</v>
      </c>
      <c r="Q12" s="45">
        <v>1684</v>
      </c>
      <c r="R12" s="49">
        <v>7000</v>
      </c>
      <c r="S12" s="70"/>
      <c r="T12" s="64">
        <f t="shared" si="0"/>
        <v>7000</v>
      </c>
      <c r="U12" s="64"/>
    </row>
    <row r="13" spans="1:21" ht="165" x14ac:dyDescent="0.2">
      <c r="A13" s="11" t="s">
        <v>408</v>
      </c>
      <c r="B13" s="12" t="s">
        <v>269</v>
      </c>
      <c r="C13" s="12">
        <v>51310</v>
      </c>
      <c r="D13" s="12" t="s">
        <v>270</v>
      </c>
      <c r="E13" s="12" t="s">
        <v>271</v>
      </c>
      <c r="F13" s="13" t="s">
        <v>375</v>
      </c>
      <c r="G13" s="12" t="s">
        <v>274</v>
      </c>
      <c r="H13" s="12" t="s">
        <v>539</v>
      </c>
      <c r="I13" s="12" t="s">
        <v>8</v>
      </c>
      <c r="J13" s="12"/>
      <c r="K13" s="12" t="s">
        <v>81</v>
      </c>
      <c r="L13" s="13" t="s">
        <v>380</v>
      </c>
      <c r="M13" s="13" t="s">
        <v>380</v>
      </c>
      <c r="N13" s="14">
        <v>27000</v>
      </c>
      <c r="O13" s="13">
        <v>1</v>
      </c>
      <c r="P13" s="14">
        <v>27000</v>
      </c>
      <c r="Q13" s="45">
        <v>1686</v>
      </c>
      <c r="R13" s="49">
        <v>0</v>
      </c>
      <c r="S13" s="70"/>
      <c r="T13" s="64">
        <f t="shared" si="0"/>
        <v>0</v>
      </c>
      <c r="U13" s="64"/>
    </row>
    <row r="14" spans="1:21" ht="120" x14ac:dyDescent="0.2">
      <c r="A14" s="11" t="s">
        <v>590</v>
      </c>
      <c r="B14" s="12" t="s">
        <v>269</v>
      </c>
      <c r="C14" s="12">
        <v>51310</v>
      </c>
      <c r="D14" s="12" t="s">
        <v>270</v>
      </c>
      <c r="E14" s="12" t="s">
        <v>271</v>
      </c>
      <c r="F14" s="13" t="s">
        <v>375</v>
      </c>
      <c r="G14" s="12" t="s">
        <v>591</v>
      </c>
      <c r="H14" s="12" t="s">
        <v>592</v>
      </c>
      <c r="I14" s="12" t="s">
        <v>8</v>
      </c>
      <c r="J14" s="12"/>
      <c r="K14" s="12" t="s">
        <v>26</v>
      </c>
      <c r="L14" s="13" t="s">
        <v>380</v>
      </c>
      <c r="M14" s="13" t="s">
        <v>380</v>
      </c>
      <c r="N14" s="14">
        <v>59000</v>
      </c>
      <c r="O14" s="13">
        <v>1</v>
      </c>
      <c r="P14" s="14">
        <v>59000</v>
      </c>
      <c r="Q14" s="45"/>
      <c r="R14" s="52">
        <v>59000</v>
      </c>
      <c r="S14" s="72"/>
      <c r="T14" s="64">
        <f t="shared" si="0"/>
        <v>59000</v>
      </c>
      <c r="U14" s="65"/>
    </row>
    <row r="15" spans="1:21" ht="60" x14ac:dyDescent="0.2">
      <c r="A15" s="11" t="s">
        <v>409</v>
      </c>
      <c r="B15" s="12" t="s">
        <v>182</v>
      </c>
      <c r="C15" s="12">
        <v>51310</v>
      </c>
      <c r="D15" s="12" t="s">
        <v>183</v>
      </c>
      <c r="E15" s="12" t="s">
        <v>184</v>
      </c>
      <c r="F15" s="13" t="s">
        <v>375</v>
      </c>
      <c r="G15" s="12" t="s">
        <v>185</v>
      </c>
      <c r="H15" s="12" t="s">
        <v>186</v>
      </c>
      <c r="I15" s="12" t="s">
        <v>8</v>
      </c>
      <c r="J15" s="12">
        <v>4.0999999999999996</v>
      </c>
      <c r="K15" s="12" t="s">
        <v>26</v>
      </c>
      <c r="L15" s="13" t="s">
        <v>380</v>
      </c>
      <c r="M15" s="13" t="s">
        <v>380</v>
      </c>
      <c r="N15" s="14">
        <v>6000</v>
      </c>
      <c r="O15" s="13">
        <v>1</v>
      </c>
      <c r="P15" s="14">
        <v>6000</v>
      </c>
      <c r="Q15" s="45">
        <v>1562</v>
      </c>
      <c r="R15" s="49">
        <v>6000</v>
      </c>
      <c r="S15" s="70"/>
      <c r="T15" s="64">
        <f t="shared" si="0"/>
        <v>6000</v>
      </c>
      <c r="U15" s="64"/>
    </row>
    <row r="16" spans="1:21" ht="195" x14ac:dyDescent="0.2">
      <c r="A16" s="11" t="s">
        <v>604</v>
      </c>
      <c r="B16" s="12" t="s">
        <v>100</v>
      </c>
      <c r="C16" s="12">
        <v>51310</v>
      </c>
      <c r="D16" s="12" t="s">
        <v>107</v>
      </c>
      <c r="E16" s="12" t="s">
        <v>108</v>
      </c>
      <c r="F16" s="13" t="s">
        <v>375</v>
      </c>
      <c r="G16" s="12" t="s">
        <v>540</v>
      </c>
      <c r="H16" s="12" t="s">
        <v>109</v>
      </c>
      <c r="I16" s="12" t="s">
        <v>8</v>
      </c>
      <c r="J16" s="12"/>
      <c r="K16" s="12" t="s">
        <v>26</v>
      </c>
      <c r="L16" s="13" t="s">
        <v>380</v>
      </c>
      <c r="M16" s="13" t="s">
        <v>381</v>
      </c>
      <c r="N16" s="14">
        <v>11000</v>
      </c>
      <c r="O16" s="13">
        <v>3</v>
      </c>
      <c r="P16" s="14">
        <v>33000</v>
      </c>
      <c r="Q16" s="45">
        <v>1498</v>
      </c>
      <c r="R16" s="49">
        <v>18000</v>
      </c>
      <c r="S16" s="70"/>
      <c r="T16" s="64">
        <f t="shared" si="0"/>
        <v>18000</v>
      </c>
      <c r="U16" s="64"/>
    </row>
    <row r="17" spans="1:21" ht="230.25" customHeight="1" x14ac:dyDescent="0.2">
      <c r="A17" s="11" t="s">
        <v>412</v>
      </c>
      <c r="B17" s="12" t="s">
        <v>100</v>
      </c>
      <c r="C17" s="12">
        <v>51310</v>
      </c>
      <c r="D17" s="12" t="s">
        <v>107</v>
      </c>
      <c r="E17" s="12" t="s">
        <v>108</v>
      </c>
      <c r="F17" s="13" t="s">
        <v>375</v>
      </c>
      <c r="G17" s="12" t="s">
        <v>110</v>
      </c>
      <c r="H17" s="12" t="s">
        <v>111</v>
      </c>
      <c r="I17" s="12" t="s">
        <v>8</v>
      </c>
      <c r="J17" s="12"/>
      <c r="K17" s="12" t="s">
        <v>29</v>
      </c>
      <c r="L17" s="13" t="s">
        <v>380</v>
      </c>
      <c r="M17" s="13" t="s">
        <v>381</v>
      </c>
      <c r="N17" s="14">
        <v>14500</v>
      </c>
      <c r="O17" s="13">
        <v>1</v>
      </c>
      <c r="P17" s="14">
        <v>14500</v>
      </c>
      <c r="Q17" s="45">
        <v>1497</v>
      </c>
      <c r="R17" s="49">
        <v>12000</v>
      </c>
      <c r="S17" s="69" t="s">
        <v>598</v>
      </c>
      <c r="T17" s="64">
        <f t="shared" si="0"/>
        <v>12000</v>
      </c>
      <c r="U17" s="64"/>
    </row>
    <row r="18" spans="1:21" ht="260.25" customHeight="1" x14ac:dyDescent="0.2">
      <c r="A18" s="11" t="s">
        <v>413</v>
      </c>
      <c r="B18" s="12" t="s">
        <v>100</v>
      </c>
      <c r="C18" s="12">
        <v>51310</v>
      </c>
      <c r="D18" s="12" t="s">
        <v>101</v>
      </c>
      <c r="E18" s="12" t="s">
        <v>102</v>
      </c>
      <c r="F18" s="13" t="s">
        <v>375</v>
      </c>
      <c r="G18" s="12" t="s">
        <v>541</v>
      </c>
      <c r="H18" s="12" t="s">
        <v>112</v>
      </c>
      <c r="I18" s="12" t="s">
        <v>8</v>
      </c>
      <c r="J18" s="12"/>
      <c r="K18" s="12" t="s">
        <v>26</v>
      </c>
      <c r="L18" s="13" t="s">
        <v>380</v>
      </c>
      <c r="M18" s="13" t="s">
        <v>381</v>
      </c>
      <c r="N18" s="14">
        <v>11000</v>
      </c>
      <c r="O18" s="13">
        <v>2</v>
      </c>
      <c r="P18" s="14">
        <v>22000</v>
      </c>
      <c r="Q18" s="45">
        <v>1498</v>
      </c>
      <c r="R18" s="49">
        <v>19000</v>
      </c>
      <c r="S18" s="70"/>
      <c r="T18" s="64">
        <f t="shared" si="0"/>
        <v>19000</v>
      </c>
      <c r="U18" s="64"/>
    </row>
    <row r="19" spans="1:21" ht="76.5" customHeight="1" x14ac:dyDescent="0.2">
      <c r="A19" s="11" t="s">
        <v>414</v>
      </c>
      <c r="B19" s="12" t="s">
        <v>275</v>
      </c>
      <c r="C19" s="12">
        <v>51129</v>
      </c>
      <c r="D19" s="12" t="s">
        <v>276</v>
      </c>
      <c r="E19" s="12" t="s">
        <v>277</v>
      </c>
      <c r="F19" s="13" t="s">
        <v>375</v>
      </c>
      <c r="G19" s="12" t="s">
        <v>278</v>
      </c>
      <c r="H19" s="12" t="s">
        <v>279</v>
      </c>
      <c r="I19" s="12" t="s">
        <v>8</v>
      </c>
      <c r="J19" s="12"/>
      <c r="K19" s="12" t="s">
        <v>81</v>
      </c>
      <c r="L19" s="13" t="s">
        <v>381</v>
      </c>
      <c r="M19" s="13" t="s">
        <v>380</v>
      </c>
      <c r="N19" s="14">
        <v>5700</v>
      </c>
      <c r="O19" s="13">
        <v>1</v>
      </c>
      <c r="P19" s="14">
        <v>5700</v>
      </c>
      <c r="Q19" s="45">
        <v>1518</v>
      </c>
      <c r="R19" s="49">
        <v>2657</v>
      </c>
      <c r="S19" s="69" t="s">
        <v>593</v>
      </c>
      <c r="T19" s="64">
        <f t="shared" si="0"/>
        <v>2657</v>
      </c>
      <c r="U19" s="64"/>
    </row>
    <row r="20" spans="1:21" ht="60" x14ac:dyDescent="0.2">
      <c r="A20" s="11" t="s">
        <v>603</v>
      </c>
      <c r="B20" s="12" t="s">
        <v>275</v>
      </c>
      <c r="C20" s="12">
        <v>55205</v>
      </c>
      <c r="D20" s="12" t="s">
        <v>276</v>
      </c>
      <c r="E20" s="12" t="s">
        <v>277</v>
      </c>
      <c r="F20" s="13" t="s">
        <v>375</v>
      </c>
      <c r="G20" s="12" t="s">
        <v>280</v>
      </c>
      <c r="H20" s="12" t="s">
        <v>281</v>
      </c>
      <c r="I20" s="12" t="s">
        <v>22</v>
      </c>
      <c r="J20" s="12"/>
      <c r="K20" s="12" t="s">
        <v>81</v>
      </c>
      <c r="L20" s="13" t="s">
        <v>380</v>
      </c>
      <c r="M20" s="13" t="s">
        <v>380</v>
      </c>
      <c r="N20" s="14">
        <v>35000</v>
      </c>
      <c r="O20" s="13">
        <v>1</v>
      </c>
      <c r="P20" s="14">
        <v>35000</v>
      </c>
      <c r="Q20" s="45">
        <v>1519</v>
      </c>
      <c r="R20" s="49">
        <v>25000</v>
      </c>
      <c r="S20" s="69" t="s">
        <v>594</v>
      </c>
      <c r="T20" s="64">
        <f t="shared" si="0"/>
        <v>25000</v>
      </c>
      <c r="U20" s="64"/>
    </row>
    <row r="21" spans="1:21" ht="77.25" customHeight="1" x14ac:dyDescent="0.2">
      <c r="A21" s="11" t="s">
        <v>415</v>
      </c>
      <c r="B21" s="12" t="s">
        <v>275</v>
      </c>
      <c r="C21" s="12">
        <v>51230</v>
      </c>
      <c r="D21" s="12" t="s">
        <v>276</v>
      </c>
      <c r="E21" s="12" t="s">
        <v>277</v>
      </c>
      <c r="F21" s="13" t="s">
        <v>375</v>
      </c>
      <c r="G21" s="12" t="s">
        <v>595</v>
      </c>
      <c r="H21" s="12" t="s">
        <v>596</v>
      </c>
      <c r="I21" s="12" t="s">
        <v>8</v>
      </c>
      <c r="J21" s="12"/>
      <c r="K21" s="12" t="s">
        <v>81</v>
      </c>
      <c r="L21" s="13" t="s">
        <v>380</v>
      </c>
      <c r="M21" s="13" t="s">
        <v>380</v>
      </c>
      <c r="N21" s="14">
        <v>14208</v>
      </c>
      <c r="O21" s="13">
        <v>1</v>
      </c>
      <c r="P21" s="14">
        <v>14208</v>
      </c>
      <c r="Q21" s="45">
        <v>1521</v>
      </c>
      <c r="R21" s="49">
        <v>13440</v>
      </c>
      <c r="S21" s="70"/>
      <c r="T21" s="64">
        <f t="shared" si="0"/>
        <v>13440</v>
      </c>
      <c r="U21" s="64"/>
    </row>
    <row r="22" spans="1:21" ht="120" x14ac:dyDescent="0.2">
      <c r="A22" s="11" t="s">
        <v>416</v>
      </c>
      <c r="B22" s="12" t="s">
        <v>113</v>
      </c>
      <c r="C22" s="12">
        <v>59835</v>
      </c>
      <c r="D22" s="12" t="s">
        <v>114</v>
      </c>
      <c r="E22" s="12" t="s">
        <v>115</v>
      </c>
      <c r="F22" s="13" t="s">
        <v>375</v>
      </c>
      <c r="G22" s="12" t="s">
        <v>119</v>
      </c>
      <c r="H22" s="12" t="s">
        <v>542</v>
      </c>
      <c r="I22" s="12" t="s">
        <v>8</v>
      </c>
      <c r="J22" s="12" t="s">
        <v>120</v>
      </c>
      <c r="K22" s="12" t="s">
        <v>81</v>
      </c>
      <c r="L22" s="13" t="s">
        <v>381</v>
      </c>
      <c r="M22" s="13" t="s">
        <v>380</v>
      </c>
      <c r="N22" s="14">
        <v>13200</v>
      </c>
      <c r="O22" s="13">
        <v>1</v>
      </c>
      <c r="P22" s="14">
        <v>13440</v>
      </c>
      <c r="Q22" s="45">
        <v>1473</v>
      </c>
      <c r="R22" s="49">
        <v>14388</v>
      </c>
      <c r="S22" s="70"/>
      <c r="T22" s="64">
        <f t="shared" si="0"/>
        <v>14388</v>
      </c>
      <c r="U22" s="64"/>
    </row>
    <row r="23" spans="1:21" ht="105" x14ac:dyDescent="0.2">
      <c r="A23" s="11" t="s">
        <v>417</v>
      </c>
      <c r="B23" s="12" t="s">
        <v>113</v>
      </c>
      <c r="C23" s="12">
        <v>51310</v>
      </c>
      <c r="D23" s="12" t="s">
        <v>114</v>
      </c>
      <c r="E23" s="12" t="s">
        <v>115</v>
      </c>
      <c r="F23" s="13" t="s">
        <v>375</v>
      </c>
      <c r="G23" s="12" t="s">
        <v>122</v>
      </c>
      <c r="H23" s="12" t="s">
        <v>123</v>
      </c>
      <c r="I23" s="12" t="s">
        <v>8</v>
      </c>
      <c r="J23" s="12" t="s">
        <v>120</v>
      </c>
      <c r="K23" s="12" t="s">
        <v>32</v>
      </c>
      <c r="L23" s="13" t="s">
        <v>380</v>
      </c>
      <c r="M23" s="13" t="s">
        <v>380</v>
      </c>
      <c r="N23" s="14">
        <v>20000</v>
      </c>
      <c r="O23" s="13">
        <v>1</v>
      </c>
      <c r="P23" s="14">
        <v>20000</v>
      </c>
      <c r="Q23" s="45">
        <v>1476</v>
      </c>
      <c r="R23" s="49">
        <v>17000</v>
      </c>
      <c r="S23" s="69" t="s">
        <v>597</v>
      </c>
      <c r="T23" s="64">
        <f t="shared" si="0"/>
        <v>17000</v>
      </c>
      <c r="U23" s="64"/>
    </row>
    <row r="24" spans="1:21" ht="285" x14ac:dyDescent="0.2">
      <c r="A24" s="11" t="s">
        <v>418</v>
      </c>
      <c r="B24" s="12" t="s">
        <v>33</v>
      </c>
      <c r="C24" s="12">
        <v>51310</v>
      </c>
      <c r="D24" s="12" t="s">
        <v>34</v>
      </c>
      <c r="E24" s="12" t="s">
        <v>35</v>
      </c>
      <c r="F24" s="13" t="s">
        <v>375</v>
      </c>
      <c r="G24" s="12" t="s">
        <v>36</v>
      </c>
      <c r="H24" s="12" t="s">
        <v>543</v>
      </c>
      <c r="I24" s="12" t="s">
        <v>8</v>
      </c>
      <c r="J24" s="12">
        <v>2.1</v>
      </c>
      <c r="K24" s="12" t="s">
        <v>26</v>
      </c>
      <c r="L24" s="13" t="s">
        <v>380</v>
      </c>
      <c r="M24" s="13" t="s">
        <v>380</v>
      </c>
      <c r="N24" s="14">
        <v>16000</v>
      </c>
      <c r="O24" s="13">
        <v>1</v>
      </c>
      <c r="P24" s="14">
        <v>16000</v>
      </c>
      <c r="Q24" s="45">
        <v>1725</v>
      </c>
      <c r="R24" s="49">
        <v>15000</v>
      </c>
      <c r="S24" s="70"/>
      <c r="T24" s="64">
        <f t="shared" si="0"/>
        <v>15000</v>
      </c>
      <c r="U24" s="64"/>
    </row>
    <row r="25" spans="1:21" ht="166.5" customHeight="1" x14ac:dyDescent="0.2">
      <c r="A25" s="11" t="s">
        <v>419</v>
      </c>
      <c r="B25" s="12" t="s">
        <v>33</v>
      </c>
      <c r="C25" s="12">
        <v>51230</v>
      </c>
      <c r="D25" s="12" t="s">
        <v>37</v>
      </c>
      <c r="E25" s="12" t="s">
        <v>38</v>
      </c>
      <c r="F25" s="13" t="s">
        <v>375</v>
      </c>
      <c r="G25" s="12" t="s">
        <v>39</v>
      </c>
      <c r="H25" s="12" t="s">
        <v>544</v>
      </c>
      <c r="I25" s="12" t="s">
        <v>8</v>
      </c>
      <c r="J25" s="12">
        <v>2.1</v>
      </c>
      <c r="K25" s="12" t="s">
        <v>26</v>
      </c>
      <c r="L25" s="13" t="s">
        <v>380</v>
      </c>
      <c r="M25" s="13" t="s">
        <v>380</v>
      </c>
      <c r="N25" s="14">
        <v>50483</v>
      </c>
      <c r="O25" s="13">
        <v>1</v>
      </c>
      <c r="P25" s="14">
        <v>50483</v>
      </c>
      <c r="Q25" s="45">
        <v>1725</v>
      </c>
      <c r="R25" s="49">
        <v>43725</v>
      </c>
      <c r="S25" s="70"/>
      <c r="T25" s="64">
        <f t="shared" si="0"/>
        <v>43725</v>
      </c>
      <c r="U25" s="64"/>
    </row>
    <row r="26" spans="1:21" ht="330" x14ac:dyDescent="0.2">
      <c r="A26" s="11" t="s">
        <v>464</v>
      </c>
      <c r="B26" s="12" t="s">
        <v>33</v>
      </c>
      <c r="C26" s="12">
        <v>54100</v>
      </c>
      <c r="D26" s="12" t="s">
        <v>34</v>
      </c>
      <c r="E26" s="12" t="s">
        <v>35</v>
      </c>
      <c r="F26" s="13" t="s">
        <v>375</v>
      </c>
      <c r="G26" s="12" t="s">
        <v>44</v>
      </c>
      <c r="H26" s="12" t="s">
        <v>45</v>
      </c>
      <c r="I26" s="12" t="s">
        <v>22</v>
      </c>
      <c r="J26" s="12">
        <v>2.1</v>
      </c>
      <c r="K26" s="12" t="s">
        <v>26</v>
      </c>
      <c r="L26" s="13" t="s">
        <v>380</v>
      </c>
      <c r="M26" s="13" t="s">
        <v>380</v>
      </c>
      <c r="N26" s="14">
        <v>22500</v>
      </c>
      <c r="O26" s="13">
        <v>1</v>
      </c>
      <c r="P26" s="14">
        <v>22500</v>
      </c>
      <c r="Q26" s="45">
        <v>1727</v>
      </c>
      <c r="R26" s="49">
        <v>22500</v>
      </c>
      <c r="S26" s="70"/>
      <c r="T26" s="64">
        <f t="shared" si="0"/>
        <v>22500</v>
      </c>
      <c r="U26" s="64"/>
    </row>
    <row r="27" spans="1:21" ht="166.5" customHeight="1" x14ac:dyDescent="0.2">
      <c r="A27" s="11" t="s">
        <v>421</v>
      </c>
      <c r="B27" s="12" t="s">
        <v>33</v>
      </c>
      <c r="C27" s="12">
        <v>51310</v>
      </c>
      <c r="D27" s="12" t="s">
        <v>41</v>
      </c>
      <c r="E27" s="12" t="s">
        <v>42</v>
      </c>
      <c r="F27" s="13" t="s">
        <v>375</v>
      </c>
      <c r="G27" s="12" t="s">
        <v>43</v>
      </c>
      <c r="H27" s="12" t="s">
        <v>625</v>
      </c>
      <c r="I27" s="12" t="s">
        <v>8</v>
      </c>
      <c r="J27" s="12">
        <v>2.1</v>
      </c>
      <c r="K27" s="12" t="s">
        <v>26</v>
      </c>
      <c r="L27" s="13" t="s">
        <v>381</v>
      </c>
      <c r="M27" s="13" t="s">
        <v>381</v>
      </c>
      <c r="N27" s="14">
        <v>16000</v>
      </c>
      <c r="O27" s="13">
        <v>1</v>
      </c>
      <c r="P27" s="14">
        <v>16000</v>
      </c>
      <c r="Q27" s="45">
        <v>1725</v>
      </c>
      <c r="R27" s="49">
        <v>15000</v>
      </c>
      <c r="S27" s="70"/>
      <c r="T27" s="64">
        <f t="shared" si="0"/>
        <v>15000</v>
      </c>
      <c r="U27" s="64"/>
    </row>
    <row r="28" spans="1:21" ht="30" x14ac:dyDescent="0.2">
      <c r="A28" s="11" t="s">
        <v>422</v>
      </c>
      <c r="B28" s="12" t="s">
        <v>4</v>
      </c>
      <c r="C28" s="12">
        <v>51220</v>
      </c>
      <c r="D28" s="12" t="s">
        <v>5</v>
      </c>
      <c r="E28" s="12" t="s">
        <v>6</v>
      </c>
      <c r="F28" s="13" t="s">
        <v>375</v>
      </c>
      <c r="G28" s="12" t="s">
        <v>7</v>
      </c>
      <c r="H28" s="12" t="s">
        <v>7</v>
      </c>
      <c r="I28" s="12" t="s">
        <v>8</v>
      </c>
      <c r="J28" s="12"/>
      <c r="K28" s="12" t="s">
        <v>9</v>
      </c>
      <c r="L28" s="13" t="s">
        <v>381</v>
      </c>
      <c r="M28" s="13" t="s">
        <v>380</v>
      </c>
      <c r="N28" s="14">
        <v>150000</v>
      </c>
      <c r="O28" s="13">
        <v>1</v>
      </c>
      <c r="P28" s="14">
        <v>150000</v>
      </c>
      <c r="Q28" s="45">
        <v>1703</v>
      </c>
      <c r="R28" s="49"/>
      <c r="S28" s="70"/>
      <c r="T28" s="64">
        <f t="shared" si="0"/>
        <v>0</v>
      </c>
      <c r="U28" s="64"/>
    </row>
    <row r="29" spans="1:21" ht="30" x14ac:dyDescent="0.2">
      <c r="A29" s="11" t="s">
        <v>423</v>
      </c>
      <c r="B29" s="12" t="s">
        <v>4</v>
      </c>
      <c r="C29" s="12">
        <v>51114</v>
      </c>
      <c r="D29" s="12" t="s">
        <v>5</v>
      </c>
      <c r="E29" s="12" t="s">
        <v>6</v>
      </c>
      <c r="F29" s="13" t="s">
        <v>375</v>
      </c>
      <c r="G29" s="12" t="s">
        <v>15</v>
      </c>
      <c r="H29" s="12" t="s">
        <v>16</v>
      </c>
      <c r="I29" s="12" t="s">
        <v>8</v>
      </c>
      <c r="J29" s="12"/>
      <c r="K29" s="12" t="s">
        <v>9</v>
      </c>
      <c r="L29" s="13" t="s">
        <v>380</v>
      </c>
      <c r="M29" s="13" t="s">
        <v>381</v>
      </c>
      <c r="N29" s="14">
        <v>25890</v>
      </c>
      <c r="O29" s="13">
        <v>1</v>
      </c>
      <c r="P29" s="14">
        <v>25890</v>
      </c>
      <c r="Q29" s="45">
        <v>1704</v>
      </c>
      <c r="R29" s="49">
        <v>15534</v>
      </c>
      <c r="S29" s="70"/>
      <c r="T29" s="64">
        <f t="shared" si="0"/>
        <v>15534</v>
      </c>
      <c r="U29" s="64"/>
    </row>
    <row r="30" spans="1:21" ht="45" x14ac:dyDescent="0.2">
      <c r="A30" s="11" t="s">
        <v>424</v>
      </c>
      <c r="B30" s="12" t="s">
        <v>4</v>
      </c>
      <c r="C30" s="12">
        <v>51310</v>
      </c>
      <c r="D30" s="12" t="s">
        <v>5</v>
      </c>
      <c r="E30" s="12" t="s">
        <v>6</v>
      </c>
      <c r="F30" s="13" t="s">
        <v>375</v>
      </c>
      <c r="G30" s="12" t="s">
        <v>17</v>
      </c>
      <c r="H30" s="12" t="s">
        <v>18</v>
      </c>
      <c r="I30" s="12" t="s">
        <v>8</v>
      </c>
      <c r="J30" s="12"/>
      <c r="K30" s="12" t="s">
        <v>9</v>
      </c>
      <c r="L30" s="13" t="s">
        <v>380</v>
      </c>
      <c r="M30" s="13" t="s">
        <v>381</v>
      </c>
      <c r="N30" s="14">
        <v>9625</v>
      </c>
      <c r="O30" s="13">
        <v>1</v>
      </c>
      <c r="P30" s="14">
        <v>9625</v>
      </c>
      <c r="Q30" s="45">
        <v>1704</v>
      </c>
      <c r="R30" s="49">
        <v>5500</v>
      </c>
      <c r="S30" s="70"/>
      <c r="T30" s="64">
        <f t="shared" si="0"/>
        <v>5500</v>
      </c>
      <c r="U30" s="64"/>
    </row>
    <row r="31" spans="1:21" ht="30" x14ac:dyDescent="0.2">
      <c r="A31" s="91" t="s">
        <v>425</v>
      </c>
      <c r="B31" s="12" t="s">
        <v>4</v>
      </c>
      <c r="C31" s="12">
        <v>51114</v>
      </c>
      <c r="D31" s="12" t="s">
        <v>5</v>
      </c>
      <c r="E31" s="12" t="s">
        <v>6</v>
      </c>
      <c r="F31" s="13" t="s">
        <v>375</v>
      </c>
      <c r="G31" s="12" t="s">
        <v>19</v>
      </c>
      <c r="H31" s="12" t="s">
        <v>19</v>
      </c>
      <c r="I31" s="12" t="s">
        <v>8</v>
      </c>
      <c r="J31" s="12"/>
      <c r="K31" s="12" t="s">
        <v>9</v>
      </c>
      <c r="L31" s="13" t="s">
        <v>380</v>
      </c>
      <c r="M31" s="13" t="s">
        <v>381</v>
      </c>
      <c r="N31" s="14">
        <v>10356</v>
      </c>
      <c r="O31" s="13">
        <v>1</v>
      </c>
      <c r="P31" s="14">
        <v>10356</v>
      </c>
      <c r="Q31" s="45">
        <v>1708</v>
      </c>
      <c r="R31" s="49">
        <v>0</v>
      </c>
      <c r="S31" s="49"/>
      <c r="T31" s="64">
        <f t="shared" si="0"/>
        <v>0</v>
      </c>
      <c r="U31" s="64"/>
    </row>
    <row r="32" spans="1:21" ht="45" x14ac:dyDescent="0.2">
      <c r="A32" s="91" t="s">
        <v>466</v>
      </c>
      <c r="B32" s="12" t="s">
        <v>4</v>
      </c>
      <c r="C32" s="12">
        <v>53210</v>
      </c>
      <c r="D32" s="12" t="s">
        <v>5</v>
      </c>
      <c r="E32" s="12" t="s">
        <v>6</v>
      </c>
      <c r="F32" s="13" t="s">
        <v>375</v>
      </c>
      <c r="G32" s="12" t="s">
        <v>21</v>
      </c>
      <c r="H32" s="12"/>
      <c r="I32" s="12" t="s">
        <v>22</v>
      </c>
      <c r="J32" s="12"/>
      <c r="K32" s="12" t="s">
        <v>9</v>
      </c>
      <c r="L32" s="13" t="s">
        <v>380</v>
      </c>
      <c r="M32" s="13" t="s">
        <v>381</v>
      </c>
      <c r="N32" s="14">
        <v>800</v>
      </c>
      <c r="O32" s="13">
        <v>1</v>
      </c>
      <c r="P32" s="14">
        <v>800</v>
      </c>
      <c r="Q32" s="45">
        <v>1713</v>
      </c>
      <c r="R32" s="49">
        <v>0</v>
      </c>
      <c r="S32" s="49"/>
      <c r="T32" s="64">
        <f t="shared" si="0"/>
        <v>0</v>
      </c>
      <c r="U32" s="64"/>
    </row>
    <row r="33" spans="1:21" ht="60" x14ac:dyDescent="0.2">
      <c r="A33" s="91" t="s">
        <v>468</v>
      </c>
      <c r="B33" s="12" t="s">
        <v>90</v>
      </c>
      <c r="C33" s="12">
        <v>53920</v>
      </c>
      <c r="D33" s="12" t="s">
        <v>91</v>
      </c>
      <c r="E33" s="12" t="s">
        <v>92</v>
      </c>
      <c r="F33" s="13" t="s">
        <v>375</v>
      </c>
      <c r="G33" s="12" t="s">
        <v>93</v>
      </c>
      <c r="H33" s="12" t="s">
        <v>94</v>
      </c>
      <c r="I33" s="12" t="s">
        <v>22</v>
      </c>
      <c r="J33" s="12">
        <v>1.5</v>
      </c>
      <c r="K33" s="12" t="s">
        <v>26</v>
      </c>
      <c r="L33" s="13" t="s">
        <v>380</v>
      </c>
      <c r="M33" s="13" t="s">
        <v>380</v>
      </c>
      <c r="N33" s="14">
        <v>200</v>
      </c>
      <c r="O33" s="13">
        <v>1</v>
      </c>
      <c r="P33" s="14">
        <v>200</v>
      </c>
      <c r="Q33" s="45">
        <v>1483</v>
      </c>
      <c r="R33" s="49"/>
      <c r="S33" s="50" t="s">
        <v>650</v>
      </c>
      <c r="T33" s="64">
        <f t="shared" si="0"/>
        <v>0</v>
      </c>
      <c r="U33" s="64"/>
    </row>
    <row r="34" spans="1:21" ht="60" x14ac:dyDescent="0.2">
      <c r="A34" s="91" t="s">
        <v>469</v>
      </c>
      <c r="B34" s="12" t="s">
        <v>90</v>
      </c>
      <c r="C34" s="12">
        <v>54110</v>
      </c>
      <c r="D34" s="12" t="s">
        <v>91</v>
      </c>
      <c r="E34" s="12" t="s">
        <v>92</v>
      </c>
      <c r="F34" s="13" t="s">
        <v>375</v>
      </c>
      <c r="G34" s="12" t="s">
        <v>95</v>
      </c>
      <c r="H34" s="12" t="s">
        <v>96</v>
      </c>
      <c r="I34" s="12" t="s">
        <v>22</v>
      </c>
      <c r="J34" s="12">
        <v>1.5</v>
      </c>
      <c r="K34" s="12" t="s">
        <v>26</v>
      </c>
      <c r="L34" s="13" t="s">
        <v>380</v>
      </c>
      <c r="M34" s="13" t="s">
        <v>380</v>
      </c>
      <c r="N34" s="14">
        <v>10</v>
      </c>
      <c r="O34" s="13">
        <v>2500</v>
      </c>
      <c r="P34" s="14">
        <v>25000</v>
      </c>
      <c r="Q34" s="45">
        <v>1483</v>
      </c>
      <c r="R34" s="49"/>
      <c r="S34" s="50" t="s">
        <v>650</v>
      </c>
      <c r="T34" s="64">
        <f t="shared" si="0"/>
        <v>0</v>
      </c>
      <c r="U34" s="64"/>
    </row>
    <row r="35" spans="1:21" ht="409" x14ac:dyDescent="0.2">
      <c r="A35" s="11" t="s">
        <v>429</v>
      </c>
      <c r="B35" s="12" t="s">
        <v>90</v>
      </c>
      <c r="C35" s="12">
        <v>51310</v>
      </c>
      <c r="D35" s="12" t="s">
        <v>97</v>
      </c>
      <c r="E35" s="12" t="s">
        <v>98</v>
      </c>
      <c r="F35" s="13" t="s">
        <v>375</v>
      </c>
      <c r="G35" s="12" t="s">
        <v>99</v>
      </c>
      <c r="H35" s="12" t="s">
        <v>546</v>
      </c>
      <c r="I35" s="12" t="s">
        <v>8</v>
      </c>
      <c r="J35" s="12">
        <v>1.3</v>
      </c>
      <c r="K35" s="12" t="s">
        <v>81</v>
      </c>
      <c r="L35" s="13" t="s">
        <v>380</v>
      </c>
      <c r="M35" s="13" t="s">
        <v>381</v>
      </c>
      <c r="N35" s="14">
        <v>25000</v>
      </c>
      <c r="O35" s="13">
        <v>1</v>
      </c>
      <c r="P35" s="14">
        <v>25000</v>
      </c>
      <c r="Q35" s="45">
        <v>1485</v>
      </c>
      <c r="R35" s="49">
        <v>15000</v>
      </c>
      <c r="S35" s="70"/>
      <c r="T35" s="64">
        <f t="shared" si="0"/>
        <v>15000</v>
      </c>
      <c r="U35" s="64"/>
    </row>
    <row r="36" spans="1:21" ht="60" x14ac:dyDescent="0.2">
      <c r="A36" s="11" t="s">
        <v>430</v>
      </c>
      <c r="B36" s="12" t="s">
        <v>68</v>
      </c>
      <c r="C36" s="12">
        <v>51310</v>
      </c>
      <c r="D36" s="12" t="s">
        <v>69</v>
      </c>
      <c r="E36" s="12" t="s">
        <v>70</v>
      </c>
      <c r="F36" s="13" t="s">
        <v>375</v>
      </c>
      <c r="G36" s="12" t="s">
        <v>71</v>
      </c>
      <c r="H36" s="12" t="s">
        <v>72</v>
      </c>
      <c r="I36" s="12" t="s">
        <v>8</v>
      </c>
      <c r="J36" s="12"/>
      <c r="K36" s="12" t="s">
        <v>29</v>
      </c>
      <c r="L36" s="13" t="s">
        <v>380</v>
      </c>
      <c r="M36" s="13" t="s">
        <v>381</v>
      </c>
      <c r="N36" s="14">
        <v>15000</v>
      </c>
      <c r="O36" s="13">
        <v>1</v>
      </c>
      <c r="P36" s="14">
        <v>15000</v>
      </c>
      <c r="Q36" s="45">
        <v>1590</v>
      </c>
      <c r="R36" s="49">
        <v>10000</v>
      </c>
      <c r="S36" s="70"/>
      <c r="T36" s="64">
        <f t="shared" si="0"/>
        <v>10000</v>
      </c>
      <c r="U36" s="64"/>
    </row>
    <row r="37" spans="1:21" ht="60" x14ac:dyDescent="0.2">
      <c r="A37" s="11" t="s">
        <v>431</v>
      </c>
      <c r="B37" s="12" t="s">
        <v>68</v>
      </c>
      <c r="C37" s="12">
        <v>51310</v>
      </c>
      <c r="D37" s="12" t="s">
        <v>74</v>
      </c>
      <c r="E37" s="12" t="s">
        <v>75</v>
      </c>
      <c r="F37" s="13" t="s">
        <v>375</v>
      </c>
      <c r="G37" s="12" t="s">
        <v>76</v>
      </c>
      <c r="H37" s="12" t="s">
        <v>77</v>
      </c>
      <c r="I37" s="12" t="s">
        <v>8</v>
      </c>
      <c r="J37" s="12"/>
      <c r="K37" s="12" t="s">
        <v>26</v>
      </c>
      <c r="L37" s="13" t="s">
        <v>380</v>
      </c>
      <c r="M37" s="13" t="s">
        <v>381</v>
      </c>
      <c r="N37" s="14">
        <v>3000</v>
      </c>
      <c r="O37" s="13">
        <v>1</v>
      </c>
      <c r="P37" s="14">
        <v>3000</v>
      </c>
      <c r="Q37" s="45">
        <v>1589</v>
      </c>
      <c r="R37" s="49">
        <v>1875</v>
      </c>
      <c r="S37" s="70"/>
      <c r="T37" s="64">
        <f t="shared" si="0"/>
        <v>1875</v>
      </c>
      <c r="U37" s="64"/>
    </row>
    <row r="38" spans="1:21" ht="60" x14ac:dyDescent="0.2">
      <c r="A38" s="11" t="s">
        <v>432</v>
      </c>
      <c r="B38" s="12" t="s">
        <v>68</v>
      </c>
      <c r="C38" s="12">
        <v>51310</v>
      </c>
      <c r="D38" s="12" t="s">
        <v>78</v>
      </c>
      <c r="E38" s="12" t="s">
        <v>79</v>
      </c>
      <c r="F38" s="13" t="s">
        <v>375</v>
      </c>
      <c r="G38" s="12" t="s">
        <v>547</v>
      </c>
      <c r="H38" s="12" t="s">
        <v>80</v>
      </c>
      <c r="I38" s="12" t="s">
        <v>8</v>
      </c>
      <c r="J38" s="12"/>
      <c r="K38" s="12" t="s">
        <v>56</v>
      </c>
      <c r="L38" s="13" t="s">
        <v>380</v>
      </c>
      <c r="M38" s="13" t="s">
        <v>381</v>
      </c>
      <c r="N38" s="14">
        <v>3000</v>
      </c>
      <c r="O38" s="13">
        <v>1</v>
      </c>
      <c r="P38" s="14">
        <v>3000</v>
      </c>
      <c r="Q38" s="45">
        <v>1591</v>
      </c>
      <c r="R38" s="49">
        <v>1053</v>
      </c>
      <c r="S38" s="70"/>
      <c r="T38" s="64">
        <f t="shared" si="0"/>
        <v>1053</v>
      </c>
      <c r="U38" s="64"/>
    </row>
    <row r="39" spans="1:21" ht="360" x14ac:dyDescent="0.2">
      <c r="A39" s="11" t="s">
        <v>434</v>
      </c>
      <c r="B39" s="12" t="s">
        <v>200</v>
      </c>
      <c r="C39" s="12">
        <v>51130</v>
      </c>
      <c r="D39" s="12" t="s">
        <v>201</v>
      </c>
      <c r="E39" s="12" t="s">
        <v>202</v>
      </c>
      <c r="F39" s="13" t="s">
        <v>375</v>
      </c>
      <c r="G39" s="12" t="s">
        <v>204</v>
      </c>
      <c r="H39" s="12" t="s">
        <v>549</v>
      </c>
      <c r="I39" s="12" t="s">
        <v>8</v>
      </c>
      <c r="J39" s="12"/>
      <c r="K39" s="12" t="s">
        <v>26</v>
      </c>
      <c r="L39" s="13" t="s">
        <v>380</v>
      </c>
      <c r="M39" s="13" t="s">
        <v>380</v>
      </c>
      <c r="N39" s="14">
        <v>38000</v>
      </c>
      <c r="O39" s="13">
        <v>1</v>
      </c>
      <c r="P39" s="14">
        <v>38000</v>
      </c>
      <c r="Q39" s="45">
        <v>1436</v>
      </c>
      <c r="R39" s="49">
        <v>0</v>
      </c>
      <c r="S39" s="69" t="s">
        <v>599</v>
      </c>
      <c r="T39" s="64">
        <f t="shared" si="0"/>
        <v>0</v>
      </c>
      <c r="U39" s="64"/>
    </row>
    <row r="40" spans="1:21" ht="105" x14ac:dyDescent="0.2">
      <c r="A40" s="11" t="s">
        <v>467</v>
      </c>
      <c r="B40" s="12" t="s">
        <v>190</v>
      </c>
      <c r="C40" s="12">
        <v>55400</v>
      </c>
      <c r="D40" s="12" t="s">
        <v>191</v>
      </c>
      <c r="E40" s="12" t="s">
        <v>192</v>
      </c>
      <c r="F40" s="13" t="s">
        <v>375</v>
      </c>
      <c r="G40" s="12" t="s">
        <v>194</v>
      </c>
      <c r="H40" s="12" t="s">
        <v>195</v>
      </c>
      <c r="I40" s="12" t="s">
        <v>22</v>
      </c>
      <c r="J40" s="12"/>
      <c r="K40" s="12" t="s">
        <v>26</v>
      </c>
      <c r="L40" s="13" t="s">
        <v>381</v>
      </c>
      <c r="M40" s="13" t="s">
        <v>380</v>
      </c>
      <c r="N40" s="14">
        <v>153</v>
      </c>
      <c r="O40" s="13">
        <v>1</v>
      </c>
      <c r="P40" s="27">
        <v>153</v>
      </c>
      <c r="Q40" s="46">
        <v>1672</v>
      </c>
      <c r="R40" s="49">
        <v>0</v>
      </c>
      <c r="S40" s="69" t="s">
        <v>600</v>
      </c>
      <c r="T40" s="64">
        <f t="shared" si="0"/>
        <v>0</v>
      </c>
      <c r="U40" s="64"/>
    </row>
    <row r="41" spans="1:21" ht="42.75" customHeight="1" x14ac:dyDescent="0.2">
      <c r="A41" s="30" t="s">
        <v>607</v>
      </c>
      <c r="B41" s="22"/>
      <c r="C41" s="22"/>
      <c r="D41" s="22"/>
      <c r="E41" s="22"/>
      <c r="F41" s="22"/>
      <c r="G41" s="22"/>
      <c r="H41" s="22"/>
      <c r="I41" s="22"/>
      <c r="J41" s="22"/>
      <c r="K41" s="22"/>
      <c r="L41" s="22"/>
      <c r="M41" s="22"/>
      <c r="N41" s="22"/>
      <c r="O41" s="22"/>
      <c r="P41" s="29">
        <f>SUM(P5:P40)</f>
        <v>930939</v>
      </c>
      <c r="Q41" s="45"/>
      <c r="R41" s="53">
        <f>SUM(R5:R40)</f>
        <v>566672</v>
      </c>
      <c r="S41" s="69"/>
      <c r="T41" s="79">
        <f>SUM(T5:T40)</f>
        <v>566672</v>
      </c>
      <c r="U41" s="64"/>
    </row>
    <row r="42" spans="1:21" ht="29.25" customHeight="1" x14ac:dyDescent="0.2">
      <c r="A42" s="82" t="s">
        <v>580</v>
      </c>
      <c r="B42" s="5"/>
      <c r="C42" s="5"/>
      <c r="D42" s="5"/>
      <c r="E42" s="5"/>
      <c r="F42" s="6"/>
      <c r="G42" s="5"/>
      <c r="H42" s="5"/>
      <c r="I42" s="5"/>
      <c r="J42" s="5"/>
      <c r="K42" s="5"/>
      <c r="L42" s="6"/>
      <c r="M42" s="6"/>
      <c r="N42" s="15"/>
      <c r="O42" s="6"/>
      <c r="P42" s="15"/>
      <c r="Q42" s="67"/>
      <c r="R42" s="53"/>
      <c r="S42" s="53"/>
      <c r="T42" s="79"/>
      <c r="U42" s="79"/>
    </row>
    <row r="43" spans="1:21" ht="409" x14ac:dyDescent="0.2">
      <c r="A43" s="11" t="s">
        <v>450</v>
      </c>
      <c r="B43" s="12" t="s">
        <v>318</v>
      </c>
      <c r="C43" s="12">
        <v>51310</v>
      </c>
      <c r="D43" s="12" t="s">
        <v>319</v>
      </c>
      <c r="E43" s="12" t="s">
        <v>320</v>
      </c>
      <c r="F43" s="13" t="s">
        <v>377</v>
      </c>
      <c r="G43" s="12" t="s">
        <v>321</v>
      </c>
      <c r="H43" s="12" t="s">
        <v>635</v>
      </c>
      <c r="I43" s="12" t="s">
        <v>8</v>
      </c>
      <c r="J43" s="12"/>
      <c r="K43" s="12" t="s">
        <v>26</v>
      </c>
      <c r="L43" s="13" t="s">
        <v>380</v>
      </c>
      <c r="M43" s="13" t="s">
        <v>381</v>
      </c>
      <c r="N43" s="14">
        <v>15600</v>
      </c>
      <c r="O43" s="13">
        <v>4</v>
      </c>
      <c r="P43" s="14">
        <v>62400</v>
      </c>
      <c r="Q43" s="45">
        <v>1675</v>
      </c>
      <c r="R43" s="49">
        <v>64816</v>
      </c>
      <c r="S43" s="49"/>
      <c r="T43" s="64">
        <f>R43</f>
        <v>64816</v>
      </c>
      <c r="U43" s="64"/>
    </row>
    <row r="44" spans="1:21" ht="409" x14ac:dyDescent="0.2">
      <c r="A44" s="11" t="s">
        <v>452</v>
      </c>
      <c r="B44" s="12" t="s">
        <v>318</v>
      </c>
      <c r="C44" s="12">
        <v>51230</v>
      </c>
      <c r="D44" s="12" t="s">
        <v>319</v>
      </c>
      <c r="E44" s="12" t="s">
        <v>320</v>
      </c>
      <c r="F44" s="13" t="s">
        <v>377</v>
      </c>
      <c r="G44" s="12" t="s">
        <v>324</v>
      </c>
      <c r="H44" s="12" t="s">
        <v>638</v>
      </c>
      <c r="I44" s="12" t="s">
        <v>8</v>
      </c>
      <c r="J44" s="12" t="s">
        <v>325</v>
      </c>
      <c r="K44" s="12" t="s">
        <v>81</v>
      </c>
      <c r="L44" s="13" t="s">
        <v>381</v>
      </c>
      <c r="M44" s="13" t="s">
        <v>381</v>
      </c>
      <c r="N44" s="14">
        <v>59031</v>
      </c>
      <c r="O44" s="13">
        <v>2</v>
      </c>
      <c r="P44" s="14">
        <v>118062</v>
      </c>
      <c r="Q44" s="45">
        <v>1674</v>
      </c>
      <c r="R44" s="49">
        <v>0</v>
      </c>
      <c r="S44" s="49"/>
      <c r="T44" s="64">
        <f t="shared" ref="T44:T60" si="1">R44</f>
        <v>0</v>
      </c>
      <c r="U44" s="64"/>
    </row>
    <row r="45" spans="1:21" ht="195" x14ac:dyDescent="0.2">
      <c r="A45" s="11" t="s">
        <v>453</v>
      </c>
      <c r="B45" s="12" t="s">
        <v>318</v>
      </c>
      <c r="C45" s="12">
        <v>51230</v>
      </c>
      <c r="D45" s="12" t="s">
        <v>326</v>
      </c>
      <c r="E45" s="12" t="s">
        <v>327</v>
      </c>
      <c r="F45" s="13" t="s">
        <v>377</v>
      </c>
      <c r="G45" s="12" t="s">
        <v>335</v>
      </c>
      <c r="H45" s="12" t="s">
        <v>336</v>
      </c>
      <c r="I45" s="12" t="s">
        <v>8</v>
      </c>
      <c r="J45" s="12" t="s">
        <v>330</v>
      </c>
      <c r="K45" s="12" t="s">
        <v>26</v>
      </c>
      <c r="L45" s="13" t="s">
        <v>380</v>
      </c>
      <c r="M45" s="13" t="s">
        <v>380</v>
      </c>
      <c r="N45" s="14">
        <v>42520</v>
      </c>
      <c r="O45" s="13">
        <v>1</v>
      </c>
      <c r="P45" s="14">
        <v>42520</v>
      </c>
      <c r="Q45" s="45">
        <v>1677</v>
      </c>
      <c r="R45" s="49"/>
      <c r="S45" s="50" t="s">
        <v>634</v>
      </c>
      <c r="T45" s="64">
        <f t="shared" si="1"/>
        <v>0</v>
      </c>
      <c r="U45" s="64"/>
    </row>
    <row r="46" spans="1:21" ht="225" x14ac:dyDescent="0.2">
      <c r="A46" s="11" t="s">
        <v>454</v>
      </c>
      <c r="B46" s="12" t="s">
        <v>318</v>
      </c>
      <c r="C46" s="12">
        <v>51310</v>
      </c>
      <c r="D46" s="12" t="s">
        <v>326</v>
      </c>
      <c r="E46" s="12" t="s">
        <v>327</v>
      </c>
      <c r="F46" s="13" t="s">
        <v>377</v>
      </c>
      <c r="G46" s="12" t="s">
        <v>337</v>
      </c>
      <c r="H46" s="12" t="s">
        <v>338</v>
      </c>
      <c r="I46" s="12" t="s">
        <v>8</v>
      </c>
      <c r="J46" s="12" t="s">
        <v>330</v>
      </c>
      <c r="K46" s="12" t="s">
        <v>29</v>
      </c>
      <c r="L46" s="13" t="s">
        <v>380</v>
      </c>
      <c r="M46" s="13" t="s">
        <v>380</v>
      </c>
      <c r="N46" s="14">
        <v>11</v>
      </c>
      <c r="O46" s="13">
        <v>2080</v>
      </c>
      <c r="P46" s="14">
        <v>22880</v>
      </c>
      <c r="Q46" s="45">
        <v>1677</v>
      </c>
      <c r="R46" s="49">
        <v>0</v>
      </c>
      <c r="S46" s="49"/>
      <c r="T46" s="64">
        <f t="shared" si="1"/>
        <v>0</v>
      </c>
      <c r="U46" s="64"/>
    </row>
    <row r="47" spans="1:21" ht="135" x14ac:dyDescent="0.2">
      <c r="A47" s="11" t="s">
        <v>455</v>
      </c>
      <c r="B47" s="12" t="s">
        <v>318</v>
      </c>
      <c r="C47" s="12">
        <v>51230</v>
      </c>
      <c r="D47" s="12" t="s">
        <v>343</v>
      </c>
      <c r="E47" s="12" t="s">
        <v>344</v>
      </c>
      <c r="F47" s="13" t="s">
        <v>377</v>
      </c>
      <c r="G47" s="12" t="s">
        <v>345</v>
      </c>
      <c r="H47" s="12" t="s">
        <v>346</v>
      </c>
      <c r="I47" s="12" t="s">
        <v>8</v>
      </c>
      <c r="J47" s="12"/>
      <c r="K47" s="12" t="s">
        <v>26</v>
      </c>
      <c r="L47" s="13" t="s">
        <v>381</v>
      </c>
      <c r="M47" s="13" t="s">
        <v>381</v>
      </c>
      <c r="N47" s="14">
        <v>70000</v>
      </c>
      <c r="O47" s="13">
        <v>1</v>
      </c>
      <c r="P47" s="14">
        <v>70000</v>
      </c>
      <c r="Q47" s="45">
        <v>1697</v>
      </c>
      <c r="R47" s="49">
        <v>46264</v>
      </c>
      <c r="S47" s="50" t="s">
        <v>640</v>
      </c>
      <c r="T47" s="64">
        <f t="shared" si="1"/>
        <v>46264</v>
      </c>
      <c r="U47" s="64"/>
    </row>
    <row r="48" spans="1:21" ht="60" x14ac:dyDescent="0.2">
      <c r="A48" s="11" t="s">
        <v>479</v>
      </c>
      <c r="B48" s="12" t="s">
        <v>318</v>
      </c>
      <c r="C48" s="12">
        <v>53210</v>
      </c>
      <c r="D48" s="12" t="s">
        <v>326</v>
      </c>
      <c r="E48" s="12" t="s">
        <v>327</v>
      </c>
      <c r="F48" s="13" t="s">
        <v>377</v>
      </c>
      <c r="G48" s="12" t="s">
        <v>328</v>
      </c>
      <c r="H48" s="12" t="s">
        <v>329</v>
      </c>
      <c r="I48" s="12" t="s">
        <v>22</v>
      </c>
      <c r="J48" s="12" t="s">
        <v>330</v>
      </c>
      <c r="K48" s="12" t="s">
        <v>26</v>
      </c>
      <c r="L48" s="13" t="s">
        <v>380</v>
      </c>
      <c r="M48" s="13" t="s">
        <v>380</v>
      </c>
      <c r="N48" s="14">
        <v>950</v>
      </c>
      <c r="O48" s="13">
        <v>1</v>
      </c>
      <c r="P48" s="14">
        <v>950</v>
      </c>
      <c r="Q48" s="45">
        <v>1677</v>
      </c>
      <c r="R48" s="49">
        <v>0</v>
      </c>
      <c r="S48" s="50" t="s">
        <v>637</v>
      </c>
      <c r="T48" s="64">
        <f t="shared" si="1"/>
        <v>0</v>
      </c>
      <c r="U48" s="64"/>
    </row>
    <row r="49" spans="1:21" ht="78" customHeight="1" x14ac:dyDescent="0.2">
      <c r="A49" s="11" t="s">
        <v>480</v>
      </c>
      <c r="B49" s="12" t="s">
        <v>318</v>
      </c>
      <c r="C49" s="12">
        <v>53920</v>
      </c>
      <c r="D49" s="12" t="s">
        <v>326</v>
      </c>
      <c r="E49" s="12" t="s">
        <v>327</v>
      </c>
      <c r="F49" s="13" t="s">
        <v>377</v>
      </c>
      <c r="G49" s="12" t="s">
        <v>331</v>
      </c>
      <c r="H49" s="12" t="s">
        <v>332</v>
      </c>
      <c r="I49" s="12" t="s">
        <v>22</v>
      </c>
      <c r="J49" s="12" t="s">
        <v>330</v>
      </c>
      <c r="K49" s="12" t="s">
        <v>144</v>
      </c>
      <c r="L49" s="13" t="s">
        <v>380</v>
      </c>
      <c r="M49" s="13" t="s">
        <v>380</v>
      </c>
      <c r="N49" s="14">
        <v>400</v>
      </c>
      <c r="O49" s="13">
        <v>1</v>
      </c>
      <c r="P49" s="14">
        <v>400</v>
      </c>
      <c r="Q49" s="45">
        <v>1677</v>
      </c>
      <c r="R49" s="49">
        <v>0</v>
      </c>
      <c r="S49" s="50" t="s">
        <v>637</v>
      </c>
      <c r="T49" s="64">
        <f t="shared" si="1"/>
        <v>0</v>
      </c>
      <c r="U49" s="64"/>
    </row>
    <row r="50" spans="1:21" ht="135" x14ac:dyDescent="0.2">
      <c r="A50" s="11" t="s">
        <v>481</v>
      </c>
      <c r="B50" s="12" t="s">
        <v>318</v>
      </c>
      <c r="C50" s="12">
        <v>55400</v>
      </c>
      <c r="D50" s="12" t="s">
        <v>326</v>
      </c>
      <c r="E50" s="12" t="s">
        <v>327</v>
      </c>
      <c r="F50" s="13" t="s">
        <v>377</v>
      </c>
      <c r="G50" s="12" t="s">
        <v>333</v>
      </c>
      <c r="H50" s="12" t="s">
        <v>334</v>
      </c>
      <c r="I50" s="12" t="s">
        <v>22</v>
      </c>
      <c r="J50" s="12" t="s">
        <v>330</v>
      </c>
      <c r="K50" s="12" t="s">
        <v>81</v>
      </c>
      <c r="L50" s="13" t="s">
        <v>380</v>
      </c>
      <c r="M50" s="13" t="s">
        <v>380</v>
      </c>
      <c r="N50" s="14">
        <v>250</v>
      </c>
      <c r="O50" s="13">
        <v>1</v>
      </c>
      <c r="P50" s="14">
        <v>250</v>
      </c>
      <c r="Q50" s="45">
        <v>1677</v>
      </c>
      <c r="R50" s="49"/>
      <c r="S50" s="50" t="s">
        <v>637</v>
      </c>
      <c r="T50" s="64">
        <f t="shared" si="1"/>
        <v>0</v>
      </c>
      <c r="U50" s="64"/>
    </row>
    <row r="51" spans="1:21" ht="78.75" customHeight="1" x14ac:dyDescent="0.2">
      <c r="A51" s="11" t="s">
        <v>482</v>
      </c>
      <c r="B51" s="12" t="s">
        <v>318</v>
      </c>
      <c r="C51" s="12">
        <v>54101</v>
      </c>
      <c r="D51" s="12" t="s">
        <v>326</v>
      </c>
      <c r="E51" s="12" t="s">
        <v>327</v>
      </c>
      <c r="F51" s="13" t="s">
        <v>377</v>
      </c>
      <c r="G51" s="12" t="s">
        <v>339</v>
      </c>
      <c r="H51" s="12" t="s">
        <v>340</v>
      </c>
      <c r="I51" s="12" t="s">
        <v>22</v>
      </c>
      <c r="J51" s="12" t="s">
        <v>330</v>
      </c>
      <c r="K51" s="12" t="s">
        <v>144</v>
      </c>
      <c r="L51" s="13" t="s">
        <v>380</v>
      </c>
      <c r="M51" s="13" t="s">
        <v>380</v>
      </c>
      <c r="N51" s="14">
        <v>1</v>
      </c>
      <c r="O51" s="13">
        <v>46250</v>
      </c>
      <c r="P51" s="14">
        <v>46250</v>
      </c>
      <c r="Q51" s="45">
        <v>1677</v>
      </c>
      <c r="R51" s="49"/>
      <c r="S51" s="50" t="s">
        <v>637</v>
      </c>
      <c r="T51" s="64">
        <f t="shared" si="1"/>
        <v>0</v>
      </c>
      <c r="U51" s="64"/>
    </row>
    <row r="52" spans="1:21" ht="45" x14ac:dyDescent="0.2">
      <c r="A52" s="11" t="s">
        <v>483</v>
      </c>
      <c r="B52" s="12" t="s">
        <v>318</v>
      </c>
      <c r="C52" s="12">
        <v>54101</v>
      </c>
      <c r="D52" s="12" t="s">
        <v>326</v>
      </c>
      <c r="E52" s="12" t="s">
        <v>327</v>
      </c>
      <c r="F52" s="13" t="s">
        <v>377</v>
      </c>
      <c r="G52" s="12" t="s">
        <v>341</v>
      </c>
      <c r="H52" s="12" t="s">
        <v>342</v>
      </c>
      <c r="I52" s="12" t="s">
        <v>22</v>
      </c>
      <c r="J52" s="12" t="s">
        <v>330</v>
      </c>
      <c r="K52" s="12" t="s">
        <v>144</v>
      </c>
      <c r="L52" s="13" t="s">
        <v>380</v>
      </c>
      <c r="M52" s="13" t="s">
        <v>380</v>
      </c>
      <c r="N52" s="14">
        <v>1</v>
      </c>
      <c r="O52" s="13">
        <v>400</v>
      </c>
      <c r="P52" s="14">
        <v>400</v>
      </c>
      <c r="Q52" s="45">
        <v>1677</v>
      </c>
      <c r="R52" s="49"/>
      <c r="S52" s="50" t="s">
        <v>637</v>
      </c>
      <c r="T52" s="64">
        <f t="shared" si="1"/>
        <v>0</v>
      </c>
      <c r="U52" s="64"/>
    </row>
    <row r="53" spans="1:21" ht="154.5" customHeight="1" x14ac:dyDescent="0.2">
      <c r="A53" s="11" t="s">
        <v>456</v>
      </c>
      <c r="B53" s="12" t="s">
        <v>61</v>
      </c>
      <c r="C53" s="12">
        <v>51230</v>
      </c>
      <c r="D53" s="12" t="s">
        <v>62</v>
      </c>
      <c r="E53" s="12" t="s">
        <v>63</v>
      </c>
      <c r="F53" s="13" t="s">
        <v>377</v>
      </c>
      <c r="G53" s="12" t="s">
        <v>636</v>
      </c>
      <c r="H53" s="12" t="s">
        <v>64</v>
      </c>
      <c r="I53" s="12" t="s">
        <v>8</v>
      </c>
      <c r="J53" s="12" t="s">
        <v>65</v>
      </c>
      <c r="K53" s="12" t="s">
        <v>26</v>
      </c>
      <c r="L53" s="13" t="s">
        <v>381</v>
      </c>
      <c r="M53" s="13" t="s">
        <v>381</v>
      </c>
      <c r="N53" s="14">
        <v>26000</v>
      </c>
      <c r="O53" s="13">
        <v>1</v>
      </c>
      <c r="P53" s="14">
        <v>26000</v>
      </c>
      <c r="Q53" s="45">
        <v>1539</v>
      </c>
      <c r="R53" s="49">
        <v>21475</v>
      </c>
      <c r="S53" s="49"/>
      <c r="T53" s="64">
        <f t="shared" si="1"/>
        <v>21475</v>
      </c>
      <c r="U53" s="64"/>
    </row>
    <row r="54" spans="1:21" ht="195" x14ac:dyDescent="0.2">
      <c r="A54" s="11" t="s">
        <v>484</v>
      </c>
      <c r="B54" s="12" t="s">
        <v>264</v>
      </c>
      <c r="C54" s="12">
        <v>54100</v>
      </c>
      <c r="D54" s="12" t="s">
        <v>265</v>
      </c>
      <c r="E54" s="12" t="s">
        <v>266</v>
      </c>
      <c r="F54" s="13" t="s">
        <v>377</v>
      </c>
      <c r="G54" s="12" t="s">
        <v>267</v>
      </c>
      <c r="H54" s="12" t="s">
        <v>268</v>
      </c>
      <c r="I54" s="12" t="s">
        <v>22</v>
      </c>
      <c r="J54" s="12"/>
      <c r="K54" s="12" t="s">
        <v>26</v>
      </c>
      <c r="L54" s="13" t="s">
        <v>381</v>
      </c>
      <c r="M54" s="13" t="s">
        <v>381</v>
      </c>
      <c r="N54" s="14">
        <v>5000</v>
      </c>
      <c r="O54" s="13">
        <v>1</v>
      </c>
      <c r="P54" s="14">
        <v>5000</v>
      </c>
      <c r="Q54" s="45">
        <v>1692</v>
      </c>
      <c r="R54" s="49">
        <v>0</v>
      </c>
      <c r="S54" s="49"/>
      <c r="T54" s="64">
        <f t="shared" si="1"/>
        <v>0</v>
      </c>
      <c r="U54" s="64"/>
    </row>
    <row r="55" spans="1:21" ht="75" x14ac:dyDescent="0.2">
      <c r="A55" s="11" t="s">
        <v>457</v>
      </c>
      <c r="B55" s="12" t="s">
        <v>367</v>
      </c>
      <c r="C55" s="12">
        <v>51230</v>
      </c>
      <c r="D55" s="12" t="s">
        <v>368</v>
      </c>
      <c r="E55" s="12" t="s">
        <v>271</v>
      </c>
      <c r="F55" s="13" t="s">
        <v>377</v>
      </c>
      <c r="G55" s="12" t="s">
        <v>369</v>
      </c>
      <c r="H55" s="12" t="s">
        <v>370</v>
      </c>
      <c r="I55" s="12" t="s">
        <v>8</v>
      </c>
      <c r="J55" s="12"/>
      <c r="K55" s="12" t="s">
        <v>26</v>
      </c>
      <c r="L55" s="13" t="s">
        <v>381</v>
      </c>
      <c r="M55" s="13" t="s">
        <v>380</v>
      </c>
      <c r="N55" s="14">
        <v>63000</v>
      </c>
      <c r="O55" s="13">
        <v>2</v>
      </c>
      <c r="P55" s="14">
        <v>126000</v>
      </c>
      <c r="Q55" s="45">
        <v>1583</v>
      </c>
      <c r="R55" s="49">
        <v>50018</v>
      </c>
      <c r="S55" s="50" t="s">
        <v>639</v>
      </c>
      <c r="T55" s="64">
        <f t="shared" si="1"/>
        <v>50018</v>
      </c>
      <c r="U55" s="64"/>
    </row>
    <row r="56" spans="1:21" ht="229.5" customHeight="1" x14ac:dyDescent="0.2">
      <c r="A56" s="11" t="s">
        <v>458</v>
      </c>
      <c r="B56" s="12" t="s">
        <v>367</v>
      </c>
      <c r="C56" s="12">
        <v>51310</v>
      </c>
      <c r="D56" s="12" t="s">
        <v>371</v>
      </c>
      <c r="E56" s="12" t="s">
        <v>38</v>
      </c>
      <c r="F56" s="13" t="s">
        <v>377</v>
      </c>
      <c r="G56" s="12" t="s">
        <v>372</v>
      </c>
      <c r="H56" s="12" t="s">
        <v>373</v>
      </c>
      <c r="I56" s="12" t="s">
        <v>8</v>
      </c>
      <c r="J56" s="12">
        <v>1.3</v>
      </c>
      <c r="K56" s="12" t="s">
        <v>81</v>
      </c>
      <c r="L56" s="13" t="s">
        <v>381</v>
      </c>
      <c r="M56" s="13" t="s">
        <v>380</v>
      </c>
      <c r="N56" s="14">
        <v>21000</v>
      </c>
      <c r="O56" s="13">
        <v>1</v>
      </c>
      <c r="P56" s="14">
        <v>21000</v>
      </c>
      <c r="Q56" s="45">
        <v>1751</v>
      </c>
      <c r="R56" s="49">
        <v>0</v>
      </c>
      <c r="S56" s="49"/>
      <c r="T56" s="64">
        <f t="shared" si="1"/>
        <v>0</v>
      </c>
      <c r="U56" s="64"/>
    </row>
    <row r="57" spans="1:21" ht="210" x14ac:dyDescent="0.2">
      <c r="A57" s="11" t="s">
        <v>485</v>
      </c>
      <c r="B57" s="12" t="s">
        <v>307</v>
      </c>
      <c r="C57" s="12">
        <v>55400</v>
      </c>
      <c r="D57" s="12" t="s">
        <v>308</v>
      </c>
      <c r="E57" s="12" t="s">
        <v>309</v>
      </c>
      <c r="F57" s="13" t="s">
        <v>377</v>
      </c>
      <c r="G57" s="12" t="s">
        <v>310</v>
      </c>
      <c r="H57" s="12" t="s">
        <v>311</v>
      </c>
      <c r="I57" s="12" t="s">
        <v>22</v>
      </c>
      <c r="J57" s="12">
        <v>1.2</v>
      </c>
      <c r="K57" s="12" t="s">
        <v>144</v>
      </c>
      <c r="L57" s="13" t="s">
        <v>381</v>
      </c>
      <c r="M57" s="13" t="s">
        <v>380</v>
      </c>
      <c r="N57" s="14">
        <v>1100</v>
      </c>
      <c r="O57" s="13">
        <v>1</v>
      </c>
      <c r="P57" s="14">
        <v>1100</v>
      </c>
      <c r="Q57" s="45">
        <v>1381</v>
      </c>
      <c r="R57" s="49">
        <v>0</v>
      </c>
      <c r="S57" s="49"/>
      <c r="T57" s="64">
        <f t="shared" si="1"/>
        <v>0</v>
      </c>
      <c r="U57" s="64"/>
    </row>
    <row r="58" spans="1:21" ht="90" x14ac:dyDescent="0.2">
      <c r="A58" s="11" t="s">
        <v>459</v>
      </c>
      <c r="B58" s="12" t="s">
        <v>255</v>
      </c>
      <c r="C58" s="12">
        <v>51310</v>
      </c>
      <c r="D58" s="12" t="s">
        <v>256</v>
      </c>
      <c r="E58" s="12" t="s">
        <v>257</v>
      </c>
      <c r="F58" s="13" t="s">
        <v>377</v>
      </c>
      <c r="G58" s="12" t="s">
        <v>261</v>
      </c>
      <c r="H58" s="12" t="s">
        <v>262</v>
      </c>
      <c r="I58" s="12" t="s">
        <v>8</v>
      </c>
      <c r="J58" s="12">
        <v>1.3</v>
      </c>
      <c r="K58" s="12" t="s">
        <v>29</v>
      </c>
      <c r="L58" s="13" t="s">
        <v>381</v>
      </c>
      <c r="M58" s="13" t="s">
        <v>381</v>
      </c>
      <c r="N58" s="14">
        <v>94000</v>
      </c>
      <c r="O58" s="13">
        <v>1</v>
      </c>
      <c r="P58" s="14">
        <v>94000</v>
      </c>
      <c r="Q58" s="45">
        <v>1550</v>
      </c>
      <c r="R58" s="49">
        <v>0</v>
      </c>
      <c r="S58" s="49"/>
      <c r="T58" s="64">
        <f t="shared" si="1"/>
        <v>0</v>
      </c>
      <c r="U58" s="64"/>
    </row>
    <row r="59" spans="1:21" ht="60" x14ac:dyDescent="0.2">
      <c r="A59" s="11" t="s">
        <v>486</v>
      </c>
      <c r="B59" s="12" t="s">
        <v>255</v>
      </c>
      <c r="C59" s="12">
        <v>53550</v>
      </c>
      <c r="D59" s="12" t="s">
        <v>256</v>
      </c>
      <c r="E59" s="12" t="s">
        <v>257</v>
      </c>
      <c r="F59" s="13" t="s">
        <v>377</v>
      </c>
      <c r="G59" s="12" t="s">
        <v>258</v>
      </c>
      <c r="H59" s="12" t="s">
        <v>259</v>
      </c>
      <c r="I59" s="12" t="s">
        <v>22</v>
      </c>
      <c r="J59" s="12">
        <v>1.3</v>
      </c>
      <c r="K59" s="12" t="s">
        <v>32</v>
      </c>
      <c r="L59" s="13" t="s">
        <v>380</v>
      </c>
      <c r="M59" s="13" t="s">
        <v>380</v>
      </c>
      <c r="N59" s="14">
        <v>16500</v>
      </c>
      <c r="O59" s="13">
        <v>1</v>
      </c>
      <c r="P59" s="14">
        <v>16500</v>
      </c>
      <c r="Q59" s="45">
        <v>1547</v>
      </c>
      <c r="R59" s="49">
        <v>0</v>
      </c>
      <c r="S59" s="49"/>
      <c r="T59" s="64">
        <f t="shared" si="1"/>
        <v>0</v>
      </c>
      <c r="U59" s="64"/>
    </row>
    <row r="60" spans="1:21" ht="210" x14ac:dyDescent="0.2">
      <c r="A60" s="11" t="s">
        <v>487</v>
      </c>
      <c r="B60" s="12" t="s">
        <v>255</v>
      </c>
      <c r="C60" s="12">
        <v>53550</v>
      </c>
      <c r="D60" s="12" t="s">
        <v>256</v>
      </c>
      <c r="E60" s="12" t="s">
        <v>257</v>
      </c>
      <c r="F60" s="13" t="s">
        <v>377</v>
      </c>
      <c r="G60" s="12" t="s">
        <v>260</v>
      </c>
      <c r="H60" s="12" t="s">
        <v>558</v>
      </c>
      <c r="I60" s="12" t="s">
        <v>22</v>
      </c>
      <c r="J60" s="12">
        <v>1.3</v>
      </c>
      <c r="K60" s="12" t="s">
        <v>32</v>
      </c>
      <c r="L60" s="13" t="s">
        <v>381</v>
      </c>
      <c r="M60" s="13" t="s">
        <v>380</v>
      </c>
      <c r="N60" s="14">
        <v>25000</v>
      </c>
      <c r="O60" s="13">
        <v>1</v>
      </c>
      <c r="P60" s="14">
        <v>25000</v>
      </c>
      <c r="Q60" s="45">
        <v>1547</v>
      </c>
      <c r="R60" s="49">
        <v>0</v>
      </c>
      <c r="S60" s="49"/>
      <c r="T60" s="64">
        <f t="shared" si="1"/>
        <v>0</v>
      </c>
      <c r="U60" s="64"/>
    </row>
    <row r="61" spans="1:21" ht="30.75" customHeight="1" x14ac:dyDescent="0.2">
      <c r="A61" s="30" t="s">
        <v>641</v>
      </c>
      <c r="B61" s="28"/>
      <c r="C61" s="28"/>
      <c r="D61" s="28"/>
      <c r="E61" s="28"/>
      <c r="F61" s="26"/>
      <c r="G61" s="28"/>
      <c r="H61" s="24"/>
      <c r="I61" s="12"/>
      <c r="J61" s="12"/>
      <c r="K61" s="12"/>
      <c r="L61" s="13"/>
      <c r="M61" s="13"/>
      <c r="N61" s="14"/>
      <c r="O61" s="13"/>
      <c r="P61" s="83">
        <f>SUM(P43:P60)</f>
        <v>678712</v>
      </c>
      <c r="Q61" s="66"/>
      <c r="R61" s="53">
        <f>SUM(R43:R60)</f>
        <v>182573</v>
      </c>
      <c r="S61" s="49"/>
      <c r="T61" s="79">
        <f>SUM(T43:T60)</f>
        <v>182573</v>
      </c>
      <c r="U61" s="64"/>
    </row>
    <row r="62" spans="1:21" ht="36.75" customHeight="1" x14ac:dyDescent="0.2">
      <c r="A62" s="18" t="s">
        <v>581</v>
      </c>
      <c r="B62" s="19"/>
      <c r="C62" s="19"/>
      <c r="D62" s="19"/>
      <c r="E62" s="19"/>
      <c r="F62" s="19"/>
      <c r="G62" s="19"/>
      <c r="H62" s="20"/>
      <c r="I62" s="5"/>
      <c r="J62" s="5"/>
      <c r="K62" s="5"/>
      <c r="L62" s="6"/>
      <c r="M62" s="6"/>
      <c r="N62" s="15"/>
      <c r="O62" s="6"/>
      <c r="P62" s="23"/>
      <c r="Q62" s="68"/>
      <c r="R62" s="53"/>
      <c r="S62" s="54"/>
      <c r="T62" s="79"/>
      <c r="U62" s="64"/>
    </row>
    <row r="63" spans="1:21" ht="285" x14ac:dyDescent="0.2">
      <c r="A63" s="11" t="s">
        <v>435</v>
      </c>
      <c r="B63" s="12" t="s">
        <v>138</v>
      </c>
      <c r="C63" s="12">
        <v>51310</v>
      </c>
      <c r="D63" s="12" t="s">
        <v>139</v>
      </c>
      <c r="E63" s="12" t="s">
        <v>140</v>
      </c>
      <c r="F63" s="13" t="s">
        <v>376</v>
      </c>
      <c r="G63" s="12" t="s">
        <v>141</v>
      </c>
      <c r="H63" s="12" t="s">
        <v>142</v>
      </c>
      <c r="I63" s="12" t="s">
        <v>8</v>
      </c>
      <c r="J63" s="12" t="s">
        <v>143</v>
      </c>
      <c r="K63" s="12" t="s">
        <v>144</v>
      </c>
      <c r="L63" s="13" t="s">
        <v>380</v>
      </c>
      <c r="M63" s="13" t="s">
        <v>380</v>
      </c>
      <c r="N63" s="14">
        <v>19859</v>
      </c>
      <c r="O63" s="13">
        <v>1</v>
      </c>
      <c r="P63" s="25">
        <v>19859</v>
      </c>
      <c r="Q63" s="66">
        <v>1694</v>
      </c>
      <c r="R63" s="49"/>
      <c r="S63" s="50" t="s">
        <v>630</v>
      </c>
      <c r="T63" s="64">
        <f t="shared" ref="T63:T70" si="2">R63</f>
        <v>0</v>
      </c>
      <c r="U63" s="81"/>
    </row>
    <row r="64" spans="1:21" ht="377.25" customHeight="1" x14ac:dyDescent="0.2">
      <c r="A64" s="11" t="s">
        <v>436</v>
      </c>
      <c r="B64" s="12" t="s">
        <v>23</v>
      </c>
      <c r="C64" s="12">
        <v>51230</v>
      </c>
      <c r="D64" s="12" t="s">
        <v>24</v>
      </c>
      <c r="E64" s="12" t="s">
        <v>25</v>
      </c>
      <c r="F64" s="13" t="s">
        <v>376</v>
      </c>
      <c r="G64" s="12" t="s">
        <v>631</v>
      </c>
      <c r="H64" s="12" t="s">
        <v>550</v>
      </c>
      <c r="I64" s="12" t="s">
        <v>8</v>
      </c>
      <c r="J64" s="12">
        <v>3.1</v>
      </c>
      <c r="K64" s="12" t="s">
        <v>26</v>
      </c>
      <c r="L64" s="13" t="s">
        <v>380</v>
      </c>
      <c r="M64" s="13" t="s">
        <v>381</v>
      </c>
      <c r="N64" s="14">
        <v>43204</v>
      </c>
      <c r="O64" s="13">
        <v>1</v>
      </c>
      <c r="P64" s="14">
        <v>43204</v>
      </c>
      <c r="Q64" s="45">
        <v>1720</v>
      </c>
      <c r="R64" s="49">
        <v>34403</v>
      </c>
      <c r="S64" s="50" t="s">
        <v>632</v>
      </c>
      <c r="T64" s="64">
        <f t="shared" si="2"/>
        <v>34403</v>
      </c>
      <c r="U64" s="64"/>
    </row>
    <row r="65" spans="1:21" ht="242.25" customHeight="1" x14ac:dyDescent="0.2">
      <c r="A65" s="11" t="s">
        <v>437</v>
      </c>
      <c r="B65" s="12" t="s">
        <v>23</v>
      </c>
      <c r="C65" s="12">
        <v>51310</v>
      </c>
      <c r="D65" s="12" t="s">
        <v>24</v>
      </c>
      <c r="E65" s="12" t="s">
        <v>25</v>
      </c>
      <c r="F65" s="13" t="s">
        <v>376</v>
      </c>
      <c r="G65" s="12" t="s">
        <v>27</v>
      </c>
      <c r="H65" s="12" t="s">
        <v>28</v>
      </c>
      <c r="I65" s="12" t="s">
        <v>8</v>
      </c>
      <c r="J65" s="12">
        <v>3.1</v>
      </c>
      <c r="K65" s="12" t="s">
        <v>29</v>
      </c>
      <c r="L65" s="13" t="s">
        <v>380</v>
      </c>
      <c r="M65" s="13" t="s">
        <v>381</v>
      </c>
      <c r="N65" s="14">
        <v>33330</v>
      </c>
      <c r="O65" s="13">
        <v>1</v>
      </c>
      <c r="P65" s="14">
        <v>33330</v>
      </c>
      <c r="Q65" s="45">
        <v>1722</v>
      </c>
      <c r="R65" s="49">
        <v>22877</v>
      </c>
      <c r="S65" s="59"/>
      <c r="T65" s="64">
        <f t="shared" si="2"/>
        <v>22877</v>
      </c>
      <c r="U65" s="64"/>
    </row>
    <row r="66" spans="1:21" ht="105" x14ac:dyDescent="0.2">
      <c r="A66" s="11" t="s">
        <v>438</v>
      </c>
      <c r="B66" s="12" t="s">
        <v>145</v>
      </c>
      <c r="C66" s="12">
        <v>51310</v>
      </c>
      <c r="D66" s="12" t="s">
        <v>146</v>
      </c>
      <c r="E66" s="12" t="s">
        <v>42</v>
      </c>
      <c r="F66" s="13" t="s">
        <v>376</v>
      </c>
      <c r="G66" s="12" t="s">
        <v>149</v>
      </c>
      <c r="H66" s="12" t="s">
        <v>150</v>
      </c>
      <c r="I66" s="12" t="s">
        <v>8</v>
      </c>
      <c r="J66" s="12">
        <v>4.0999999999999996</v>
      </c>
      <c r="K66" s="12" t="s">
        <v>26</v>
      </c>
      <c r="L66" s="13" t="s">
        <v>380</v>
      </c>
      <c r="M66" s="13" t="s">
        <v>381</v>
      </c>
      <c r="N66" s="14">
        <v>90000</v>
      </c>
      <c r="O66" s="13">
        <v>1</v>
      </c>
      <c r="P66" s="14">
        <v>90000</v>
      </c>
      <c r="Q66" s="45">
        <v>1478</v>
      </c>
      <c r="R66" s="49">
        <v>30000</v>
      </c>
      <c r="S66" s="49"/>
      <c r="T66" s="64">
        <f t="shared" si="2"/>
        <v>30000</v>
      </c>
      <c r="U66" s="64"/>
    </row>
    <row r="67" spans="1:21" ht="150" x14ac:dyDescent="0.2">
      <c r="A67" s="11" t="s">
        <v>439</v>
      </c>
      <c r="B67" s="12" t="s">
        <v>126</v>
      </c>
      <c r="C67" s="12">
        <v>51310</v>
      </c>
      <c r="D67" s="12" t="s">
        <v>127</v>
      </c>
      <c r="E67" s="12" t="s">
        <v>128</v>
      </c>
      <c r="F67" s="13" t="s">
        <v>376</v>
      </c>
      <c r="G67" s="12" t="s">
        <v>129</v>
      </c>
      <c r="H67" s="12" t="s">
        <v>130</v>
      </c>
      <c r="I67" s="12" t="s">
        <v>8</v>
      </c>
      <c r="J67" s="12"/>
      <c r="K67" s="12" t="s">
        <v>26</v>
      </c>
      <c r="L67" s="13" t="s">
        <v>380</v>
      </c>
      <c r="M67" s="13" t="s">
        <v>381</v>
      </c>
      <c r="N67" s="14">
        <v>14500</v>
      </c>
      <c r="O67" s="13">
        <v>1</v>
      </c>
      <c r="P67" s="14">
        <v>14500</v>
      </c>
      <c r="Q67" s="45">
        <v>1656</v>
      </c>
      <c r="R67" s="49">
        <v>0</v>
      </c>
      <c r="S67" s="49"/>
      <c r="T67" s="64">
        <f t="shared" si="2"/>
        <v>0</v>
      </c>
      <c r="U67" s="64"/>
    </row>
    <row r="68" spans="1:21" ht="195" customHeight="1" x14ac:dyDescent="0.2">
      <c r="A68" s="11" t="s">
        <v>440</v>
      </c>
      <c r="B68" s="12" t="s">
        <v>126</v>
      </c>
      <c r="C68" s="12">
        <v>51230</v>
      </c>
      <c r="D68" s="12" t="s">
        <v>127</v>
      </c>
      <c r="E68" s="12" t="s">
        <v>128</v>
      </c>
      <c r="F68" s="13" t="s">
        <v>376</v>
      </c>
      <c r="G68" s="12" t="s">
        <v>135</v>
      </c>
      <c r="H68" s="12" t="s">
        <v>136</v>
      </c>
      <c r="I68" s="12" t="s">
        <v>8</v>
      </c>
      <c r="J68" s="12"/>
      <c r="K68" s="12" t="s">
        <v>137</v>
      </c>
      <c r="L68" s="13" t="s">
        <v>381</v>
      </c>
      <c r="M68" s="13" t="s">
        <v>381</v>
      </c>
      <c r="N68" s="14">
        <v>31272</v>
      </c>
      <c r="O68" s="13">
        <v>1</v>
      </c>
      <c r="P68" s="14">
        <v>31272</v>
      </c>
      <c r="Q68" s="45">
        <v>1693</v>
      </c>
      <c r="R68" s="49">
        <v>0</v>
      </c>
      <c r="S68" s="49"/>
      <c r="T68" s="64">
        <f t="shared" si="2"/>
        <v>0</v>
      </c>
      <c r="U68" s="64"/>
    </row>
    <row r="69" spans="1:21" ht="60" x14ac:dyDescent="0.2">
      <c r="A69" s="11" t="s">
        <v>470</v>
      </c>
      <c r="B69" s="12" t="s">
        <v>23</v>
      </c>
      <c r="C69" s="12">
        <v>54100</v>
      </c>
      <c r="D69" s="12" t="s">
        <v>24</v>
      </c>
      <c r="E69" s="12" t="s">
        <v>25</v>
      </c>
      <c r="F69" s="13" t="s">
        <v>376</v>
      </c>
      <c r="G69" s="12" t="s">
        <v>30</v>
      </c>
      <c r="H69" s="12" t="s">
        <v>31</v>
      </c>
      <c r="I69" s="12" t="s">
        <v>22</v>
      </c>
      <c r="J69" s="12">
        <v>3.1</v>
      </c>
      <c r="K69" s="12" t="s">
        <v>32</v>
      </c>
      <c r="L69" s="13" t="s">
        <v>381</v>
      </c>
      <c r="M69" s="13" t="s">
        <v>381</v>
      </c>
      <c r="N69" s="14">
        <v>2200</v>
      </c>
      <c r="O69" s="13">
        <v>1</v>
      </c>
      <c r="P69" s="14">
        <v>2200</v>
      </c>
      <c r="Q69" s="45">
        <v>1721</v>
      </c>
      <c r="R69" s="49"/>
      <c r="S69" s="49"/>
      <c r="T69" s="64">
        <f t="shared" si="2"/>
        <v>0</v>
      </c>
      <c r="U69" s="64"/>
    </row>
    <row r="70" spans="1:21" ht="60" x14ac:dyDescent="0.2">
      <c r="A70" s="11" t="s">
        <v>471</v>
      </c>
      <c r="B70" s="12" t="s">
        <v>126</v>
      </c>
      <c r="C70" s="12">
        <v>53550</v>
      </c>
      <c r="D70" s="12" t="s">
        <v>127</v>
      </c>
      <c r="E70" s="12" t="s">
        <v>128</v>
      </c>
      <c r="F70" s="13" t="s">
        <v>376</v>
      </c>
      <c r="G70" s="12" t="s">
        <v>131</v>
      </c>
      <c r="H70" s="12" t="s">
        <v>132</v>
      </c>
      <c r="I70" s="12" t="s">
        <v>22</v>
      </c>
      <c r="J70" s="12"/>
      <c r="K70" s="12" t="s">
        <v>26</v>
      </c>
      <c r="L70" s="13" t="s">
        <v>380</v>
      </c>
      <c r="M70" s="13" t="s">
        <v>381</v>
      </c>
      <c r="N70" s="14">
        <v>9000</v>
      </c>
      <c r="O70" s="13">
        <v>1</v>
      </c>
      <c r="P70" s="14">
        <v>9000</v>
      </c>
      <c r="Q70" s="45">
        <v>1665</v>
      </c>
      <c r="R70" s="49"/>
      <c r="S70" s="49"/>
      <c r="T70" s="64">
        <f t="shared" si="2"/>
        <v>0</v>
      </c>
      <c r="U70" s="64"/>
    </row>
    <row r="71" spans="1:21" ht="29.25" customHeight="1" x14ac:dyDescent="0.2">
      <c r="A71" s="82" t="s">
        <v>633</v>
      </c>
      <c r="B71" s="5"/>
      <c r="C71" s="5"/>
      <c r="D71" s="5"/>
      <c r="E71" s="5"/>
      <c r="F71" s="6"/>
      <c r="G71" s="5"/>
      <c r="H71" s="5"/>
      <c r="I71" s="5"/>
      <c r="J71" s="5"/>
      <c r="K71" s="5"/>
      <c r="L71" s="6"/>
      <c r="M71" s="6"/>
      <c r="N71" s="15"/>
      <c r="O71" s="6"/>
      <c r="P71" s="15">
        <f>SUM(P64:Q70)</f>
        <v>235161</v>
      </c>
      <c r="Q71" s="67"/>
      <c r="R71" s="53">
        <f>SUM(R64:R68)</f>
        <v>87280</v>
      </c>
      <c r="S71" s="53"/>
      <c r="T71" s="79">
        <f>SUM(T64:T68)</f>
        <v>87280</v>
      </c>
      <c r="U71" s="79"/>
    </row>
    <row r="72" spans="1:21" ht="29.25" customHeight="1" x14ac:dyDescent="0.2">
      <c r="A72" s="82" t="s">
        <v>642</v>
      </c>
      <c r="B72" s="5"/>
      <c r="C72" s="5"/>
      <c r="D72" s="5"/>
      <c r="E72" s="5"/>
      <c r="F72" s="6"/>
      <c r="G72" s="5"/>
      <c r="H72" s="5"/>
      <c r="I72" s="5"/>
      <c r="J72" s="5"/>
      <c r="K72" s="5"/>
      <c r="L72" s="6"/>
      <c r="M72" s="6"/>
      <c r="N72" s="15"/>
      <c r="O72" s="6"/>
      <c r="P72" s="15"/>
      <c r="Q72" s="67"/>
      <c r="R72" s="53"/>
      <c r="S72" s="53"/>
      <c r="T72" s="79"/>
      <c r="U72" s="79"/>
    </row>
    <row r="73" spans="1:21" ht="405" x14ac:dyDescent="0.2">
      <c r="A73" s="11" t="s">
        <v>441</v>
      </c>
      <c r="B73" s="12" t="s">
        <v>153</v>
      </c>
      <c r="C73" s="12">
        <v>51310</v>
      </c>
      <c r="D73" s="12" t="s">
        <v>154</v>
      </c>
      <c r="E73" s="12" t="s">
        <v>155</v>
      </c>
      <c r="F73" s="13" t="s">
        <v>378</v>
      </c>
      <c r="G73" s="12" t="s">
        <v>156</v>
      </c>
      <c r="H73" s="12" t="s">
        <v>551</v>
      </c>
      <c r="I73" s="12" t="s">
        <v>8</v>
      </c>
      <c r="J73" s="12" t="s">
        <v>157</v>
      </c>
      <c r="K73" s="12" t="s">
        <v>26</v>
      </c>
      <c r="L73" s="13" t="s">
        <v>380</v>
      </c>
      <c r="M73" s="13" t="s">
        <v>381</v>
      </c>
      <c r="N73" s="14">
        <v>127500</v>
      </c>
      <c r="O73" s="13">
        <v>1</v>
      </c>
      <c r="P73" s="14">
        <v>127500</v>
      </c>
      <c r="Q73" s="45">
        <v>1446</v>
      </c>
      <c r="R73" s="49">
        <v>41592</v>
      </c>
      <c r="S73" s="49"/>
      <c r="T73" s="64">
        <f t="shared" ref="T73:T76" si="3">R73</f>
        <v>41592</v>
      </c>
      <c r="U73" s="64"/>
    </row>
    <row r="74" spans="1:21" ht="121.5" customHeight="1" x14ac:dyDescent="0.2">
      <c r="A74" s="11" t="s">
        <v>442</v>
      </c>
      <c r="B74" s="12" t="s">
        <v>153</v>
      </c>
      <c r="C74" s="12">
        <v>51316</v>
      </c>
      <c r="D74" s="12" t="s">
        <v>154</v>
      </c>
      <c r="E74" s="12" t="s">
        <v>155</v>
      </c>
      <c r="F74" s="13" t="s">
        <v>378</v>
      </c>
      <c r="G74" s="12" t="s">
        <v>158</v>
      </c>
      <c r="H74" s="12" t="s">
        <v>552</v>
      </c>
      <c r="I74" s="12" t="s">
        <v>8</v>
      </c>
      <c r="J74" s="12" t="s">
        <v>157</v>
      </c>
      <c r="K74" s="12" t="s">
        <v>26</v>
      </c>
      <c r="L74" s="13" t="s">
        <v>380</v>
      </c>
      <c r="M74" s="13" t="s">
        <v>381</v>
      </c>
      <c r="N74" s="14">
        <v>45000</v>
      </c>
      <c r="O74" s="13">
        <v>1</v>
      </c>
      <c r="P74" s="14">
        <v>45000</v>
      </c>
      <c r="Q74" s="45">
        <v>1446</v>
      </c>
      <c r="R74" s="49">
        <v>10000</v>
      </c>
      <c r="S74" s="49"/>
      <c r="T74" s="64">
        <f t="shared" si="3"/>
        <v>10000</v>
      </c>
      <c r="U74" s="64"/>
    </row>
    <row r="75" spans="1:21" ht="90" x14ac:dyDescent="0.2">
      <c r="A75" s="11" t="s">
        <v>443</v>
      </c>
      <c r="B75" s="12" t="s">
        <v>153</v>
      </c>
      <c r="C75" s="12">
        <v>51230</v>
      </c>
      <c r="D75" s="12" t="s">
        <v>154</v>
      </c>
      <c r="E75" s="12" t="s">
        <v>155</v>
      </c>
      <c r="F75" s="13" t="s">
        <v>378</v>
      </c>
      <c r="G75" s="12" t="s">
        <v>159</v>
      </c>
      <c r="H75" s="12" t="s">
        <v>553</v>
      </c>
      <c r="I75" s="12" t="s">
        <v>8</v>
      </c>
      <c r="J75" s="12" t="s">
        <v>157</v>
      </c>
      <c r="K75" s="12" t="s">
        <v>26</v>
      </c>
      <c r="L75" s="13" t="s">
        <v>380</v>
      </c>
      <c r="M75" s="13" t="s">
        <v>381</v>
      </c>
      <c r="N75" s="14">
        <v>46528</v>
      </c>
      <c r="O75" s="13">
        <v>1</v>
      </c>
      <c r="P75" s="14">
        <v>46528</v>
      </c>
      <c r="Q75" s="45">
        <v>1448</v>
      </c>
      <c r="R75" s="49">
        <v>46528</v>
      </c>
      <c r="S75" s="49"/>
      <c r="T75" s="64">
        <f t="shared" si="3"/>
        <v>46528</v>
      </c>
      <c r="U75" s="64"/>
    </row>
    <row r="76" spans="1:21" ht="409" x14ac:dyDescent="0.2">
      <c r="A76" s="11" t="s">
        <v>472</v>
      </c>
      <c r="B76" s="12" t="s">
        <v>171</v>
      </c>
      <c r="C76" s="12">
        <v>53120</v>
      </c>
      <c r="D76" s="12" t="s">
        <v>172</v>
      </c>
      <c r="E76" s="12" t="s">
        <v>173</v>
      </c>
      <c r="F76" s="13" t="s">
        <v>378</v>
      </c>
      <c r="G76" s="12" t="s">
        <v>178</v>
      </c>
      <c r="H76" s="12" t="s">
        <v>179</v>
      </c>
      <c r="I76" s="12" t="s">
        <v>22</v>
      </c>
      <c r="J76" s="12">
        <v>4.3</v>
      </c>
      <c r="K76" s="12" t="s">
        <v>144</v>
      </c>
      <c r="L76" s="13" t="s">
        <v>381</v>
      </c>
      <c r="M76" s="13" t="s">
        <v>380</v>
      </c>
      <c r="N76" s="14">
        <v>75000</v>
      </c>
      <c r="O76" s="13">
        <v>1</v>
      </c>
      <c r="P76" s="14">
        <v>75000</v>
      </c>
      <c r="Q76" s="45">
        <v>1702</v>
      </c>
      <c r="R76" s="49"/>
      <c r="S76" s="55" t="s">
        <v>637</v>
      </c>
      <c r="T76" s="64">
        <f t="shared" si="3"/>
        <v>0</v>
      </c>
      <c r="U76" s="64"/>
    </row>
    <row r="77" spans="1:21" ht="27" customHeight="1" x14ac:dyDescent="0.2">
      <c r="A77" s="380" t="s">
        <v>644</v>
      </c>
      <c r="B77" s="381"/>
      <c r="C77" s="381"/>
      <c r="D77" s="381"/>
      <c r="E77" s="381"/>
      <c r="F77" s="381"/>
      <c r="G77" s="381"/>
      <c r="H77" s="382"/>
      <c r="I77" s="12"/>
      <c r="J77" s="12"/>
      <c r="K77" s="12"/>
      <c r="L77" s="13"/>
      <c r="M77" s="13"/>
      <c r="N77" s="14"/>
      <c r="O77" s="13"/>
      <c r="P77" s="15">
        <f>SUM(P73:P76)</f>
        <v>294028</v>
      </c>
      <c r="Q77" s="45"/>
      <c r="R77" s="53">
        <f>SUM(R73:R76)</f>
        <v>98120</v>
      </c>
      <c r="S77" s="49"/>
      <c r="T77" s="79">
        <f t="shared" ref="T77" si="4">SUM(T73:T76)</f>
        <v>98120</v>
      </c>
      <c r="U77" s="79"/>
    </row>
    <row r="78" spans="1:21" ht="27" customHeight="1" x14ac:dyDescent="0.2">
      <c r="A78" s="380" t="s">
        <v>646</v>
      </c>
      <c r="B78" s="381"/>
      <c r="C78" s="381"/>
      <c r="D78" s="381"/>
      <c r="E78" s="381"/>
      <c r="F78" s="381"/>
      <c r="G78" s="381"/>
      <c r="H78" s="382"/>
      <c r="I78" s="12"/>
      <c r="J78" s="12"/>
      <c r="K78" s="12"/>
      <c r="L78" s="13"/>
      <c r="M78" s="13"/>
      <c r="N78" s="14"/>
      <c r="O78" s="13"/>
      <c r="P78" s="15"/>
      <c r="Q78" s="45"/>
      <c r="R78" s="53"/>
      <c r="S78" s="49"/>
      <c r="T78" s="79"/>
      <c r="U78" s="79"/>
    </row>
    <row r="79" spans="1:21" ht="409" x14ac:dyDescent="0.2">
      <c r="A79" s="11" t="s">
        <v>444</v>
      </c>
      <c r="B79" s="12" t="s">
        <v>347</v>
      </c>
      <c r="C79" s="12">
        <v>51310</v>
      </c>
      <c r="D79" s="12" t="s">
        <v>348</v>
      </c>
      <c r="E79" s="12" t="s">
        <v>349</v>
      </c>
      <c r="F79" s="13" t="s">
        <v>379</v>
      </c>
      <c r="G79" s="12" t="s">
        <v>351</v>
      </c>
      <c r="H79" s="12" t="s">
        <v>554</v>
      </c>
      <c r="I79" s="12" t="s">
        <v>8</v>
      </c>
      <c r="J79" s="12">
        <v>4.4000000000000004</v>
      </c>
      <c r="K79" s="12" t="s">
        <v>29</v>
      </c>
      <c r="L79" s="13" t="s">
        <v>380</v>
      </c>
      <c r="M79" s="13" t="s">
        <v>380</v>
      </c>
      <c r="N79" s="14">
        <v>10000</v>
      </c>
      <c r="O79" s="13">
        <v>1</v>
      </c>
      <c r="P79" s="14">
        <v>10000</v>
      </c>
      <c r="Q79" s="45">
        <v>1605</v>
      </c>
      <c r="R79" s="49">
        <v>10000</v>
      </c>
      <c r="S79" s="49"/>
      <c r="T79" s="64">
        <f t="shared" ref="T79:T90" si="5">R79</f>
        <v>10000</v>
      </c>
      <c r="U79" s="64"/>
    </row>
    <row r="80" spans="1:21" ht="302.25" customHeight="1" x14ac:dyDescent="0.2">
      <c r="A80" s="11" t="s">
        <v>445</v>
      </c>
      <c r="B80" s="12" t="s">
        <v>347</v>
      </c>
      <c r="C80" s="12">
        <v>51310</v>
      </c>
      <c r="D80" s="12" t="s">
        <v>348</v>
      </c>
      <c r="E80" s="12" t="s">
        <v>349</v>
      </c>
      <c r="F80" s="13" t="s">
        <v>379</v>
      </c>
      <c r="G80" s="12" t="s">
        <v>352</v>
      </c>
      <c r="H80" s="12" t="s">
        <v>555</v>
      </c>
      <c r="I80" s="12" t="s">
        <v>8</v>
      </c>
      <c r="J80" s="12">
        <v>4.4000000000000004</v>
      </c>
      <c r="K80" s="12" t="s">
        <v>26</v>
      </c>
      <c r="L80" s="13" t="s">
        <v>380</v>
      </c>
      <c r="M80" s="13" t="s">
        <v>380</v>
      </c>
      <c r="N80" s="14">
        <v>18540</v>
      </c>
      <c r="O80" s="13">
        <v>1</v>
      </c>
      <c r="P80" s="14">
        <v>18540</v>
      </c>
      <c r="Q80" s="45">
        <v>1605</v>
      </c>
      <c r="R80" s="49"/>
      <c r="S80" s="50" t="s">
        <v>637</v>
      </c>
      <c r="T80" s="64">
        <f t="shared" si="5"/>
        <v>0</v>
      </c>
      <c r="U80" s="64"/>
    </row>
    <row r="81" spans="1:21" ht="75" x14ac:dyDescent="0.2">
      <c r="A81" s="11" t="s">
        <v>447</v>
      </c>
      <c r="B81" s="12" t="s">
        <v>347</v>
      </c>
      <c r="C81" s="12">
        <v>51114</v>
      </c>
      <c r="D81" s="12" t="s">
        <v>348</v>
      </c>
      <c r="E81" s="12" t="s">
        <v>349</v>
      </c>
      <c r="F81" s="13" t="s">
        <v>379</v>
      </c>
      <c r="G81" s="12" t="s">
        <v>355</v>
      </c>
      <c r="H81" s="12" t="s">
        <v>356</v>
      </c>
      <c r="I81" s="12" t="s">
        <v>8</v>
      </c>
      <c r="J81" s="12">
        <v>4.4000000000000004</v>
      </c>
      <c r="K81" s="12" t="s">
        <v>26</v>
      </c>
      <c r="L81" s="13" t="s">
        <v>380</v>
      </c>
      <c r="M81" s="13" t="s">
        <v>380</v>
      </c>
      <c r="N81" s="14">
        <v>250</v>
      </c>
      <c r="O81" s="13">
        <v>2</v>
      </c>
      <c r="P81" s="14">
        <v>500</v>
      </c>
      <c r="Q81" s="45">
        <v>1634</v>
      </c>
      <c r="R81" s="49">
        <v>500</v>
      </c>
      <c r="S81" s="49"/>
      <c r="T81" s="64">
        <f t="shared" si="5"/>
        <v>500</v>
      </c>
      <c r="U81" s="64"/>
    </row>
    <row r="82" spans="1:21" ht="60" x14ac:dyDescent="0.2">
      <c r="A82" s="11" t="s">
        <v>449</v>
      </c>
      <c r="B82" s="12" t="s">
        <v>347</v>
      </c>
      <c r="C82" s="12">
        <v>59835</v>
      </c>
      <c r="D82" s="12" t="s">
        <v>348</v>
      </c>
      <c r="E82" s="12" t="s">
        <v>349</v>
      </c>
      <c r="F82" s="13" t="s">
        <v>379</v>
      </c>
      <c r="G82" s="12" t="s">
        <v>365</v>
      </c>
      <c r="H82" s="12" t="s">
        <v>366</v>
      </c>
      <c r="I82" s="12" t="s">
        <v>8</v>
      </c>
      <c r="J82" s="12">
        <v>4.4000000000000004</v>
      </c>
      <c r="K82" s="12" t="s">
        <v>26</v>
      </c>
      <c r="L82" s="13" t="s">
        <v>380</v>
      </c>
      <c r="M82" s="13" t="s">
        <v>380</v>
      </c>
      <c r="N82" s="14">
        <v>250</v>
      </c>
      <c r="O82" s="13">
        <v>2</v>
      </c>
      <c r="P82" s="14">
        <v>500</v>
      </c>
      <c r="Q82" s="45">
        <v>1635</v>
      </c>
      <c r="R82" s="49">
        <v>500</v>
      </c>
      <c r="S82" s="49"/>
      <c r="T82" s="64">
        <f t="shared" si="5"/>
        <v>500</v>
      </c>
      <c r="U82" s="64"/>
    </row>
    <row r="83" spans="1:21" ht="75" x14ac:dyDescent="0.2">
      <c r="A83" s="11" t="s">
        <v>473</v>
      </c>
      <c r="B83" s="12" t="s">
        <v>301</v>
      </c>
      <c r="C83" s="12">
        <v>53210</v>
      </c>
      <c r="D83" s="12" t="s">
        <v>302</v>
      </c>
      <c r="E83" s="12" t="s">
        <v>303</v>
      </c>
      <c r="F83" s="13" t="s">
        <v>379</v>
      </c>
      <c r="G83" s="12" t="s">
        <v>304</v>
      </c>
      <c r="H83" s="12" t="s">
        <v>304</v>
      </c>
      <c r="I83" s="12" t="s">
        <v>22</v>
      </c>
      <c r="J83" s="12"/>
      <c r="K83" s="12" t="s">
        <v>9</v>
      </c>
      <c r="L83" s="13" t="s">
        <v>381</v>
      </c>
      <c r="M83" s="13" t="s">
        <v>381</v>
      </c>
      <c r="N83" s="14">
        <v>10000</v>
      </c>
      <c r="O83" s="13">
        <v>1</v>
      </c>
      <c r="P83" s="14">
        <v>10000</v>
      </c>
      <c r="Q83" s="45">
        <v>1398</v>
      </c>
      <c r="R83" s="49">
        <v>10000</v>
      </c>
      <c r="S83" s="49"/>
      <c r="T83" s="64">
        <f t="shared" si="5"/>
        <v>10000</v>
      </c>
      <c r="U83" s="64"/>
    </row>
    <row r="84" spans="1:21" ht="60" x14ac:dyDescent="0.2">
      <c r="A84" s="11" t="s">
        <v>474</v>
      </c>
      <c r="B84" s="12" t="s">
        <v>301</v>
      </c>
      <c r="C84" s="12">
        <v>53550</v>
      </c>
      <c r="D84" s="12" t="s">
        <v>302</v>
      </c>
      <c r="E84" s="12" t="s">
        <v>303</v>
      </c>
      <c r="F84" s="13" t="s">
        <v>379</v>
      </c>
      <c r="G84" s="12" t="s">
        <v>305</v>
      </c>
      <c r="H84" s="12" t="s">
        <v>306</v>
      </c>
      <c r="I84" s="12" t="s">
        <v>22</v>
      </c>
      <c r="J84" s="12"/>
      <c r="K84" s="12" t="s">
        <v>81</v>
      </c>
      <c r="L84" s="13" t="s">
        <v>381</v>
      </c>
      <c r="M84" s="13" t="s">
        <v>381</v>
      </c>
      <c r="N84" s="14">
        <v>20000</v>
      </c>
      <c r="O84" s="13">
        <v>1</v>
      </c>
      <c r="P84" s="14">
        <v>20000</v>
      </c>
      <c r="Q84" s="45">
        <v>1733</v>
      </c>
      <c r="R84" s="49">
        <v>10855</v>
      </c>
      <c r="S84" s="49"/>
      <c r="T84" s="64">
        <f t="shared" si="5"/>
        <v>10855</v>
      </c>
      <c r="U84" s="64"/>
    </row>
    <row r="85" spans="1:21" ht="90" x14ac:dyDescent="0.2">
      <c r="A85" s="11" t="s">
        <v>446</v>
      </c>
      <c r="B85" s="12" t="s">
        <v>347</v>
      </c>
      <c r="C85" s="12">
        <v>53210</v>
      </c>
      <c r="D85" s="12" t="s">
        <v>348</v>
      </c>
      <c r="E85" s="12" t="s">
        <v>349</v>
      </c>
      <c r="F85" s="13" t="s">
        <v>379</v>
      </c>
      <c r="G85" s="12" t="s">
        <v>353</v>
      </c>
      <c r="H85" s="12" t="s">
        <v>354</v>
      </c>
      <c r="I85" s="12" t="s">
        <v>22</v>
      </c>
      <c r="J85" s="12">
        <v>4.4000000000000004</v>
      </c>
      <c r="K85" s="12" t="s">
        <v>26</v>
      </c>
      <c r="L85" s="13" t="s">
        <v>381</v>
      </c>
      <c r="M85" s="13" t="s">
        <v>380</v>
      </c>
      <c r="N85" s="14">
        <v>5000</v>
      </c>
      <c r="O85" s="13">
        <v>1</v>
      </c>
      <c r="P85" s="14">
        <v>5000</v>
      </c>
      <c r="Q85" s="45">
        <v>1618</v>
      </c>
      <c r="R85" s="49">
        <v>0</v>
      </c>
      <c r="S85" s="49"/>
      <c r="T85" s="64">
        <f t="shared" si="5"/>
        <v>0</v>
      </c>
      <c r="U85" s="64"/>
    </row>
    <row r="86" spans="1:21" ht="90" x14ac:dyDescent="0.2">
      <c r="A86" s="11" t="s">
        <v>448</v>
      </c>
      <c r="B86" s="12" t="s">
        <v>347</v>
      </c>
      <c r="C86" s="12">
        <v>56520</v>
      </c>
      <c r="D86" s="12" t="s">
        <v>348</v>
      </c>
      <c r="E86" s="12" t="s">
        <v>349</v>
      </c>
      <c r="F86" s="13" t="s">
        <v>379</v>
      </c>
      <c r="G86" s="12" t="s">
        <v>363</v>
      </c>
      <c r="H86" s="12" t="s">
        <v>364</v>
      </c>
      <c r="I86" s="12" t="s">
        <v>22</v>
      </c>
      <c r="J86" s="12">
        <v>4.4000000000000004</v>
      </c>
      <c r="K86" s="12" t="s">
        <v>26</v>
      </c>
      <c r="L86" s="13" t="s">
        <v>380</v>
      </c>
      <c r="M86" s="13" t="s">
        <v>380</v>
      </c>
      <c r="N86" s="14">
        <v>2500</v>
      </c>
      <c r="O86" s="13">
        <v>1</v>
      </c>
      <c r="P86" s="14">
        <v>2500</v>
      </c>
      <c r="Q86" s="45">
        <v>1605</v>
      </c>
      <c r="R86" s="49">
        <v>2500</v>
      </c>
      <c r="S86" s="49"/>
      <c r="T86" s="64">
        <f t="shared" si="5"/>
        <v>2500</v>
      </c>
      <c r="U86" s="64"/>
    </row>
    <row r="87" spans="1:21" ht="62.25" customHeight="1" x14ac:dyDescent="0.2">
      <c r="A87" s="11" t="s">
        <v>475</v>
      </c>
      <c r="B87" s="12" t="s">
        <v>347</v>
      </c>
      <c r="C87" s="12">
        <v>53550</v>
      </c>
      <c r="D87" s="12" t="s">
        <v>348</v>
      </c>
      <c r="E87" s="12" t="s">
        <v>349</v>
      </c>
      <c r="F87" s="13" t="s">
        <v>379</v>
      </c>
      <c r="G87" s="12" t="s">
        <v>350</v>
      </c>
      <c r="H87" s="12" t="s">
        <v>556</v>
      </c>
      <c r="I87" s="12" t="s">
        <v>22</v>
      </c>
      <c r="J87" s="12">
        <v>4.4000000000000004</v>
      </c>
      <c r="K87" s="12" t="s">
        <v>32</v>
      </c>
      <c r="L87" s="13" t="s">
        <v>380</v>
      </c>
      <c r="M87" s="13" t="s">
        <v>380</v>
      </c>
      <c r="N87" s="14">
        <v>30000</v>
      </c>
      <c r="O87" s="13">
        <v>1</v>
      </c>
      <c r="P87" s="14">
        <v>30000</v>
      </c>
      <c r="Q87" s="45">
        <v>1605</v>
      </c>
      <c r="R87" s="49">
        <v>30000</v>
      </c>
      <c r="S87" s="49"/>
      <c r="T87" s="64">
        <f t="shared" si="5"/>
        <v>30000</v>
      </c>
      <c r="U87" s="64"/>
    </row>
    <row r="88" spans="1:21" ht="60" x14ac:dyDescent="0.2">
      <c r="A88" s="11" t="s">
        <v>476</v>
      </c>
      <c r="B88" s="12" t="s">
        <v>347</v>
      </c>
      <c r="C88" s="12">
        <v>53300</v>
      </c>
      <c r="D88" s="12" t="s">
        <v>348</v>
      </c>
      <c r="E88" s="12" t="s">
        <v>349</v>
      </c>
      <c r="F88" s="13" t="s">
        <v>379</v>
      </c>
      <c r="G88" s="12" t="s">
        <v>357</v>
      </c>
      <c r="H88" s="12" t="s">
        <v>358</v>
      </c>
      <c r="I88" s="12" t="s">
        <v>22</v>
      </c>
      <c r="J88" s="12">
        <v>4.4000000000000004</v>
      </c>
      <c r="K88" s="12" t="s">
        <v>26</v>
      </c>
      <c r="L88" s="13" t="s">
        <v>380</v>
      </c>
      <c r="M88" s="13" t="s">
        <v>380</v>
      </c>
      <c r="N88" s="14">
        <v>500</v>
      </c>
      <c r="O88" s="13">
        <v>10</v>
      </c>
      <c r="P88" s="14">
        <v>5000</v>
      </c>
      <c r="Q88" s="45">
        <v>1634</v>
      </c>
      <c r="R88" s="49">
        <v>1000</v>
      </c>
      <c r="S88" s="49"/>
      <c r="T88" s="64">
        <f t="shared" si="5"/>
        <v>1000</v>
      </c>
      <c r="U88" s="64"/>
    </row>
    <row r="89" spans="1:21" ht="75" x14ac:dyDescent="0.2">
      <c r="A89" s="11" t="s">
        <v>477</v>
      </c>
      <c r="B89" s="12" t="s">
        <v>347</v>
      </c>
      <c r="C89" s="12">
        <v>55400</v>
      </c>
      <c r="D89" s="12" t="s">
        <v>348</v>
      </c>
      <c r="E89" s="12" t="s">
        <v>349</v>
      </c>
      <c r="F89" s="13" t="s">
        <v>379</v>
      </c>
      <c r="G89" s="12" t="s">
        <v>359</v>
      </c>
      <c r="H89" s="12" t="s">
        <v>360</v>
      </c>
      <c r="I89" s="12" t="s">
        <v>22</v>
      </c>
      <c r="J89" s="12"/>
      <c r="K89" s="12" t="s">
        <v>26</v>
      </c>
      <c r="L89" s="13" t="s">
        <v>380</v>
      </c>
      <c r="M89" s="13" t="s">
        <v>380</v>
      </c>
      <c r="N89" s="14">
        <v>100</v>
      </c>
      <c r="O89" s="13">
        <v>5</v>
      </c>
      <c r="P89" s="14">
        <v>500</v>
      </c>
      <c r="Q89" s="45">
        <v>1629</v>
      </c>
      <c r="R89" s="49"/>
      <c r="S89" s="50" t="s">
        <v>645</v>
      </c>
      <c r="T89" s="64">
        <f t="shared" si="5"/>
        <v>0</v>
      </c>
      <c r="U89" s="64"/>
    </row>
    <row r="90" spans="1:21" ht="60" x14ac:dyDescent="0.2">
      <c r="A90" s="11" t="s">
        <v>478</v>
      </c>
      <c r="B90" s="12" t="s">
        <v>347</v>
      </c>
      <c r="C90" s="12">
        <v>56120</v>
      </c>
      <c r="D90" s="12" t="s">
        <v>348</v>
      </c>
      <c r="E90" s="12" t="s">
        <v>349</v>
      </c>
      <c r="F90" s="13" t="s">
        <v>379</v>
      </c>
      <c r="G90" s="12" t="s">
        <v>361</v>
      </c>
      <c r="H90" s="12" t="s">
        <v>362</v>
      </c>
      <c r="I90" s="12" t="s">
        <v>22</v>
      </c>
      <c r="J90" s="12">
        <v>4.4000000000000004</v>
      </c>
      <c r="K90" s="12" t="s">
        <v>26</v>
      </c>
      <c r="L90" s="13" t="s">
        <v>380</v>
      </c>
      <c r="M90" s="13" t="s">
        <v>380</v>
      </c>
      <c r="N90" s="14">
        <v>1000</v>
      </c>
      <c r="O90" s="13">
        <v>2</v>
      </c>
      <c r="P90" s="14">
        <v>2000</v>
      </c>
      <c r="Q90" s="45">
        <v>1611</v>
      </c>
      <c r="R90" s="49"/>
      <c r="S90" s="50" t="s">
        <v>645</v>
      </c>
      <c r="T90" s="64">
        <f t="shared" si="5"/>
        <v>0</v>
      </c>
      <c r="U90" s="64"/>
    </row>
    <row r="91" spans="1:21" ht="25.5" customHeight="1" x14ac:dyDescent="0.2">
      <c r="A91" s="380" t="s">
        <v>647</v>
      </c>
      <c r="B91" s="381"/>
      <c r="C91" s="381"/>
      <c r="D91" s="381"/>
      <c r="E91" s="381"/>
      <c r="F91" s="381"/>
      <c r="G91" s="381"/>
      <c r="H91" s="382"/>
      <c r="I91" s="45"/>
      <c r="J91" s="28"/>
      <c r="K91" s="28"/>
      <c r="L91" s="84"/>
      <c r="M91" s="13"/>
      <c r="N91" s="14"/>
      <c r="O91" s="13"/>
      <c r="P91" s="15">
        <f>SUM(P79:P90)</f>
        <v>104540</v>
      </c>
      <c r="Q91" s="45"/>
      <c r="R91" s="53">
        <f>SUM(R79:R90)</f>
        <v>65355</v>
      </c>
      <c r="S91" s="50"/>
      <c r="T91" s="79">
        <f>SUM(T79:T90)</f>
        <v>65355</v>
      </c>
      <c r="U91" s="64"/>
    </row>
    <row r="92" spans="1:21" ht="35.25" customHeight="1" x14ac:dyDescent="0.2">
      <c r="A92" s="383" t="s">
        <v>675</v>
      </c>
      <c r="B92" s="384"/>
      <c r="C92" s="384"/>
      <c r="D92" s="384"/>
      <c r="E92" s="384"/>
      <c r="F92" s="384"/>
      <c r="G92" s="384"/>
      <c r="H92" s="384"/>
      <c r="I92" s="384"/>
      <c r="J92" s="384"/>
      <c r="K92" s="384"/>
      <c r="L92" s="385"/>
      <c r="M92" s="361"/>
      <c r="N92" s="362"/>
      <c r="O92" s="361"/>
      <c r="P92" s="362">
        <f>P91+P77+P71+P61+P41</f>
        <v>2243380</v>
      </c>
      <c r="Q92" s="363"/>
      <c r="R92" s="362">
        <f>R91+R77+R71+R61+R41</f>
        <v>1000000</v>
      </c>
      <c r="S92" s="135"/>
      <c r="T92" s="362">
        <f>T91+T77+T71+T61+T41</f>
        <v>1000000</v>
      </c>
      <c r="U92" s="136"/>
    </row>
  </sheetData>
  <mergeCells count="9">
    <mergeCell ref="A3:U3"/>
    <mergeCell ref="A78:H78"/>
    <mergeCell ref="A91:H91"/>
    <mergeCell ref="A92:L92"/>
    <mergeCell ref="A1:O1"/>
    <mergeCell ref="R1:S1"/>
    <mergeCell ref="T1:U1"/>
    <mergeCell ref="A4:G4"/>
    <mergeCell ref="A77:H77"/>
  </mergeCells>
  <phoneticPr fontId="56" type="noConversion"/>
  <pageMargins left="0.45" right="0.45" top="0.5" bottom="0.5" header="0.3" footer="0.3"/>
  <pageSetup paperSize="5" scale="62" firstPageNumber="3" fitToHeight="0" orientation="landscape" useFirstPageNumber="1" r:id="rId1"/>
  <headerFooter>
    <oddFooter>&amp;RPage &amp;P</oddFooter>
  </headerFooter>
  <rowBreaks count="4" manualBreakCount="4">
    <brk id="40" max="16383" man="1"/>
    <brk id="61" max="16383" man="1"/>
    <brk id="71" max="16383" man="1"/>
    <brk id="77" max="16383" man="1"/>
  </rowBreaks>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U56"/>
  <sheetViews>
    <sheetView zoomScale="70" zoomScaleNormal="70" zoomScalePageLayoutView="70" workbookViewId="0">
      <selection activeCell="D2" sqref="D2"/>
    </sheetView>
  </sheetViews>
  <sheetFormatPr baseColWidth="10" defaultColWidth="8.83203125" defaultRowHeight="15" x14ac:dyDescent="0.2"/>
  <cols>
    <col min="1" max="1" width="10" style="32" bestFit="1" customWidth="1"/>
    <col min="2" max="2" width="13" style="33" customWidth="1"/>
    <col min="3" max="3" width="7.6640625" style="33" hidden="1" customWidth="1"/>
    <col min="4" max="4" width="13.6640625" style="33" customWidth="1"/>
    <col min="5" max="5" width="14.6640625" style="33" customWidth="1"/>
    <col min="6" max="6" width="5.33203125" style="38" customWidth="1"/>
    <col min="7" max="7" width="15" style="33" customWidth="1"/>
    <col min="8" max="8" width="61.5" style="33" customWidth="1"/>
    <col min="9" max="9" width="13.33203125" style="33" customWidth="1"/>
    <col min="10" max="10" width="6.5" style="33" customWidth="1"/>
    <col min="11" max="11" width="11" style="33" customWidth="1"/>
    <col min="12" max="12" width="6.33203125" style="38" customWidth="1"/>
    <col min="13" max="13" width="5.83203125" style="38" customWidth="1"/>
    <col min="14" max="14" width="11.5" style="33" customWidth="1"/>
    <col min="15" max="15" width="6.6640625" style="38" hidden="1" customWidth="1"/>
    <col min="16" max="16" width="16" style="33" bestFit="1" customWidth="1"/>
    <col min="17" max="17" width="5.5" style="33" hidden="1" customWidth="1"/>
    <col min="18" max="18" width="15.6640625" style="32" bestFit="1" customWidth="1"/>
    <col min="19" max="19" width="22" style="32" customWidth="1"/>
    <col min="20" max="20" width="16.1640625" style="32" customWidth="1"/>
    <col min="21" max="21" width="17.6640625" style="32" customWidth="1"/>
    <col min="22" max="16384" width="8.83203125" style="32"/>
  </cols>
  <sheetData>
    <row r="1" spans="1:21" ht="25" thickBot="1" x14ac:dyDescent="0.25">
      <c r="A1" s="386" t="s">
        <v>575</v>
      </c>
      <c r="B1" s="386"/>
      <c r="C1" s="386"/>
      <c r="D1" s="386"/>
      <c r="E1" s="386"/>
      <c r="F1" s="386"/>
      <c r="G1" s="386"/>
      <c r="H1" s="386"/>
      <c r="I1" s="386"/>
      <c r="J1" s="386"/>
      <c r="K1" s="386"/>
      <c r="L1" s="386"/>
      <c r="M1" s="386"/>
      <c r="N1" s="386"/>
      <c r="O1" s="386"/>
      <c r="P1" s="16"/>
      <c r="Q1" s="16"/>
      <c r="R1" s="387" t="s">
        <v>583</v>
      </c>
      <c r="S1" s="388"/>
      <c r="T1" s="389" t="s">
        <v>584</v>
      </c>
      <c r="U1" s="390"/>
    </row>
    <row r="2" spans="1:21" ht="75.75" customHeight="1" thickBot="1" x14ac:dyDescent="0.25">
      <c r="A2" s="5" t="s">
        <v>382</v>
      </c>
      <c r="B2" s="6" t="s">
        <v>383</v>
      </c>
      <c r="C2" s="7" t="s">
        <v>0</v>
      </c>
      <c r="D2" s="367" t="s">
        <v>384</v>
      </c>
      <c r="E2" s="6" t="s">
        <v>385</v>
      </c>
      <c r="F2" s="8" t="s">
        <v>374</v>
      </c>
      <c r="G2" s="5" t="s">
        <v>386</v>
      </c>
      <c r="H2" s="6" t="s">
        <v>1</v>
      </c>
      <c r="I2" s="6" t="s">
        <v>387</v>
      </c>
      <c r="J2" s="9" t="s">
        <v>388</v>
      </c>
      <c r="K2" s="6" t="s">
        <v>389</v>
      </c>
      <c r="L2" s="9" t="s">
        <v>390</v>
      </c>
      <c r="M2" s="9" t="s">
        <v>391</v>
      </c>
      <c r="N2" s="10" t="s">
        <v>392</v>
      </c>
      <c r="O2" s="8" t="s">
        <v>2</v>
      </c>
      <c r="P2" s="10" t="s">
        <v>393</v>
      </c>
      <c r="Q2" s="73" t="s">
        <v>3</v>
      </c>
      <c r="R2" s="74" t="s">
        <v>585</v>
      </c>
      <c r="S2" s="75" t="s">
        <v>586</v>
      </c>
      <c r="T2" s="60" t="s">
        <v>587</v>
      </c>
      <c r="U2" s="61" t="s">
        <v>586</v>
      </c>
    </row>
    <row r="3" spans="1:21" ht="35.25" customHeight="1" x14ac:dyDescent="0.2">
      <c r="A3" s="401" t="s">
        <v>676</v>
      </c>
      <c r="B3" s="402"/>
      <c r="C3" s="402"/>
      <c r="D3" s="402"/>
      <c r="E3" s="402"/>
      <c r="F3" s="402"/>
      <c r="G3" s="402"/>
      <c r="H3" s="402"/>
      <c r="I3" s="402"/>
      <c r="J3" s="402"/>
      <c r="K3" s="402"/>
      <c r="L3" s="402"/>
      <c r="M3" s="402"/>
      <c r="N3" s="402"/>
      <c r="O3" s="402"/>
      <c r="P3" s="402"/>
      <c r="Q3" s="402"/>
      <c r="R3" s="402"/>
      <c r="S3" s="402"/>
      <c r="T3" s="402"/>
      <c r="U3" s="403"/>
    </row>
    <row r="4" spans="1:21" ht="35.25" customHeight="1" x14ac:dyDescent="0.2">
      <c r="A4" s="391" t="s">
        <v>121</v>
      </c>
      <c r="B4" s="392"/>
      <c r="C4" s="392"/>
      <c r="D4" s="392"/>
      <c r="E4" s="392"/>
      <c r="F4" s="392"/>
      <c r="G4" s="392"/>
      <c r="H4" s="392"/>
      <c r="I4" s="86"/>
      <c r="J4" s="86"/>
      <c r="K4" s="86"/>
      <c r="L4" s="86"/>
      <c r="M4" s="86"/>
      <c r="N4" s="87"/>
      <c r="O4" s="121"/>
      <c r="P4" s="89"/>
      <c r="Q4" s="122"/>
      <c r="R4" s="47"/>
      <c r="S4" s="47"/>
      <c r="T4" s="44"/>
      <c r="U4" s="44"/>
    </row>
    <row r="5" spans="1:21" ht="240.75" customHeight="1" x14ac:dyDescent="0.2">
      <c r="A5" s="11" t="s">
        <v>501</v>
      </c>
      <c r="B5" s="12" t="s">
        <v>171</v>
      </c>
      <c r="C5" s="12">
        <v>57700</v>
      </c>
      <c r="D5" s="12" t="s">
        <v>827</v>
      </c>
      <c r="E5" s="12" t="s">
        <v>173</v>
      </c>
      <c r="F5" s="13" t="s">
        <v>378</v>
      </c>
      <c r="G5" s="12" t="s">
        <v>174</v>
      </c>
      <c r="H5" s="12" t="s">
        <v>561</v>
      </c>
      <c r="I5" s="12" t="s">
        <v>121</v>
      </c>
      <c r="J5" s="12">
        <v>4.3</v>
      </c>
      <c r="K5" s="12" t="s">
        <v>26</v>
      </c>
      <c r="L5" s="13" t="s">
        <v>381</v>
      </c>
      <c r="M5" s="13" t="s">
        <v>381</v>
      </c>
      <c r="N5" s="14">
        <v>1500</v>
      </c>
      <c r="O5" s="13">
        <v>596</v>
      </c>
      <c r="P5" s="14">
        <v>894000</v>
      </c>
      <c r="Q5" s="45">
        <v>1701</v>
      </c>
      <c r="R5" s="49">
        <v>409269</v>
      </c>
      <c r="S5" s="50" t="s">
        <v>651</v>
      </c>
      <c r="T5" s="64">
        <f>R5</f>
        <v>409269</v>
      </c>
      <c r="U5" s="125"/>
    </row>
    <row r="6" spans="1:21" ht="120" x14ac:dyDescent="0.2">
      <c r="A6" s="11" t="s">
        <v>508</v>
      </c>
      <c r="B6" s="12" t="s">
        <v>284</v>
      </c>
      <c r="C6" s="12">
        <v>57700</v>
      </c>
      <c r="D6" s="12" t="s">
        <v>827</v>
      </c>
      <c r="E6" s="12" t="s">
        <v>290</v>
      </c>
      <c r="F6" s="13" t="s">
        <v>375</v>
      </c>
      <c r="G6" s="12" t="s">
        <v>292</v>
      </c>
      <c r="H6" s="12" t="s">
        <v>657</v>
      </c>
      <c r="I6" s="12" t="s">
        <v>11</v>
      </c>
      <c r="J6" s="12"/>
      <c r="K6" s="12" t="s">
        <v>81</v>
      </c>
      <c r="L6" s="13" t="s">
        <v>381</v>
      </c>
      <c r="M6" s="13" t="s">
        <v>381</v>
      </c>
      <c r="N6" s="14">
        <v>1600</v>
      </c>
      <c r="O6" s="13">
        <v>42</v>
      </c>
      <c r="P6" s="14">
        <v>67200</v>
      </c>
      <c r="Q6" s="45">
        <v>1466</v>
      </c>
      <c r="R6" s="49"/>
      <c r="S6" s="49" t="s">
        <v>659</v>
      </c>
      <c r="T6" s="64">
        <f t="shared" ref="T6:T19" si="0">R6</f>
        <v>0</v>
      </c>
      <c r="U6" s="64"/>
    </row>
    <row r="7" spans="1:21" ht="135" x14ac:dyDescent="0.2">
      <c r="A7" s="11" t="s">
        <v>509</v>
      </c>
      <c r="B7" s="12" t="s">
        <v>284</v>
      </c>
      <c r="C7" s="12">
        <v>57700</v>
      </c>
      <c r="D7" s="12" t="s">
        <v>827</v>
      </c>
      <c r="E7" s="12" t="s">
        <v>290</v>
      </c>
      <c r="F7" s="13" t="s">
        <v>375</v>
      </c>
      <c r="G7" s="12" t="s">
        <v>293</v>
      </c>
      <c r="H7" s="12" t="s">
        <v>294</v>
      </c>
      <c r="I7" s="12" t="s">
        <v>11</v>
      </c>
      <c r="J7" s="12"/>
      <c r="K7" s="12" t="s">
        <v>81</v>
      </c>
      <c r="L7" s="13" t="s">
        <v>381</v>
      </c>
      <c r="M7" s="13" t="s">
        <v>381</v>
      </c>
      <c r="N7" s="14">
        <v>1600</v>
      </c>
      <c r="O7" s="13">
        <v>38</v>
      </c>
      <c r="P7" s="14">
        <v>60800</v>
      </c>
      <c r="Q7" s="45">
        <v>1467</v>
      </c>
      <c r="R7" s="49"/>
      <c r="S7" s="49" t="s">
        <v>659</v>
      </c>
      <c r="T7" s="64">
        <f t="shared" si="0"/>
        <v>0</v>
      </c>
      <c r="U7" s="64"/>
    </row>
    <row r="8" spans="1:21" ht="75" x14ac:dyDescent="0.2">
      <c r="A8" s="11" t="s">
        <v>510</v>
      </c>
      <c r="B8" s="12" t="s">
        <v>284</v>
      </c>
      <c r="C8" s="12">
        <v>57700</v>
      </c>
      <c r="D8" s="12" t="s">
        <v>827</v>
      </c>
      <c r="E8" s="12" t="s">
        <v>290</v>
      </c>
      <c r="F8" s="13" t="s">
        <v>375</v>
      </c>
      <c r="G8" s="12" t="s">
        <v>295</v>
      </c>
      <c r="H8" s="12" t="s">
        <v>296</v>
      </c>
      <c r="I8" s="12" t="s">
        <v>11</v>
      </c>
      <c r="J8" s="12"/>
      <c r="K8" s="12" t="s">
        <v>81</v>
      </c>
      <c r="L8" s="13" t="s">
        <v>381</v>
      </c>
      <c r="M8" s="13" t="s">
        <v>381</v>
      </c>
      <c r="N8" s="14">
        <v>1600</v>
      </c>
      <c r="O8" s="13">
        <v>40</v>
      </c>
      <c r="P8" s="14">
        <v>64000</v>
      </c>
      <c r="Q8" s="45">
        <v>1468</v>
      </c>
      <c r="R8" s="49"/>
      <c r="S8" s="49" t="s">
        <v>659</v>
      </c>
      <c r="T8" s="64">
        <f t="shared" si="0"/>
        <v>0</v>
      </c>
      <c r="U8" s="64"/>
    </row>
    <row r="9" spans="1:21" ht="76.5" customHeight="1" x14ac:dyDescent="0.2">
      <c r="A9" s="11" t="s">
        <v>496</v>
      </c>
      <c r="B9" s="12" t="s">
        <v>153</v>
      </c>
      <c r="C9" s="12">
        <v>57700</v>
      </c>
      <c r="D9" s="12" t="s">
        <v>827</v>
      </c>
      <c r="E9" s="12" t="s">
        <v>155</v>
      </c>
      <c r="F9" s="13" t="s">
        <v>378</v>
      </c>
      <c r="G9" s="12" t="s">
        <v>164</v>
      </c>
      <c r="H9" s="12" t="s">
        <v>165</v>
      </c>
      <c r="I9" s="12" t="s">
        <v>121</v>
      </c>
      <c r="J9" s="12"/>
      <c r="K9" s="12" t="s">
        <v>81</v>
      </c>
      <c r="L9" s="13" t="s">
        <v>381</v>
      </c>
      <c r="M9" s="13" t="s">
        <v>381</v>
      </c>
      <c r="N9" s="14">
        <v>1600</v>
      </c>
      <c r="O9" s="13">
        <v>31</v>
      </c>
      <c r="P9" s="14">
        <v>49600</v>
      </c>
      <c r="Q9" s="45">
        <v>1482</v>
      </c>
      <c r="R9" s="49"/>
      <c r="S9" s="49" t="s">
        <v>659</v>
      </c>
      <c r="T9" s="64">
        <f t="shared" si="0"/>
        <v>0</v>
      </c>
      <c r="U9" s="125"/>
    </row>
    <row r="10" spans="1:21" ht="90" x14ac:dyDescent="0.2">
      <c r="A10" s="11" t="s">
        <v>495</v>
      </c>
      <c r="B10" s="12" t="s">
        <v>153</v>
      </c>
      <c r="C10" s="12">
        <v>57700</v>
      </c>
      <c r="D10" s="12" t="s">
        <v>827</v>
      </c>
      <c r="E10" s="12" t="s">
        <v>155</v>
      </c>
      <c r="F10" s="13" t="s">
        <v>378</v>
      </c>
      <c r="G10" s="12" t="s">
        <v>163</v>
      </c>
      <c r="H10" s="12" t="s">
        <v>660</v>
      </c>
      <c r="I10" s="12" t="s">
        <v>121</v>
      </c>
      <c r="J10" s="12"/>
      <c r="K10" s="12" t="s">
        <v>81</v>
      </c>
      <c r="L10" s="13" t="s">
        <v>381</v>
      </c>
      <c r="M10" s="13" t="s">
        <v>381</v>
      </c>
      <c r="N10" s="14">
        <v>1600</v>
      </c>
      <c r="O10" s="13">
        <v>3</v>
      </c>
      <c r="P10" s="14">
        <v>4800</v>
      </c>
      <c r="Q10" s="45">
        <v>1453</v>
      </c>
      <c r="R10" s="49"/>
      <c r="S10" s="49" t="s">
        <v>659</v>
      </c>
      <c r="T10" s="64">
        <f t="shared" si="0"/>
        <v>0</v>
      </c>
      <c r="U10" s="125"/>
    </row>
    <row r="11" spans="1:21" ht="315" x14ac:dyDescent="0.2">
      <c r="A11" s="11" t="s">
        <v>502</v>
      </c>
      <c r="B11" s="12" t="s">
        <v>171</v>
      </c>
      <c r="C11" s="12">
        <v>57745</v>
      </c>
      <c r="D11" s="12" t="s">
        <v>827</v>
      </c>
      <c r="E11" s="12" t="s">
        <v>173</v>
      </c>
      <c r="F11" s="13" t="s">
        <v>378</v>
      </c>
      <c r="G11" s="12" t="s">
        <v>175</v>
      </c>
      <c r="H11" s="12" t="s">
        <v>562</v>
      </c>
      <c r="I11" s="12" t="s">
        <v>121</v>
      </c>
      <c r="J11" s="12">
        <v>4.3</v>
      </c>
      <c r="K11" s="12" t="s">
        <v>26</v>
      </c>
      <c r="L11" s="13" t="s">
        <v>381</v>
      </c>
      <c r="M11" s="13" t="s">
        <v>381</v>
      </c>
      <c r="N11" s="14">
        <v>1500</v>
      </c>
      <c r="O11" s="13">
        <v>115</v>
      </c>
      <c r="P11" s="14">
        <v>172500</v>
      </c>
      <c r="Q11" s="45">
        <v>1701</v>
      </c>
      <c r="R11" s="49">
        <v>160180</v>
      </c>
      <c r="S11" s="50" t="s">
        <v>652</v>
      </c>
      <c r="T11" s="64">
        <f t="shared" si="0"/>
        <v>160180</v>
      </c>
      <c r="U11" s="125"/>
    </row>
    <row r="12" spans="1:21" ht="409" x14ac:dyDescent="0.2">
      <c r="A12" s="11" t="s">
        <v>503</v>
      </c>
      <c r="B12" s="12" t="s">
        <v>171</v>
      </c>
      <c r="C12" s="12">
        <v>57750</v>
      </c>
      <c r="D12" s="12" t="s">
        <v>827</v>
      </c>
      <c r="E12" s="12" t="s">
        <v>173</v>
      </c>
      <c r="F12" s="13" t="s">
        <v>378</v>
      </c>
      <c r="G12" s="12" t="s">
        <v>176</v>
      </c>
      <c r="H12" s="12" t="s">
        <v>177</v>
      </c>
      <c r="I12" s="12" t="s">
        <v>121</v>
      </c>
      <c r="J12" s="12">
        <v>4.3</v>
      </c>
      <c r="K12" s="12" t="s">
        <v>26</v>
      </c>
      <c r="L12" s="13" t="s">
        <v>381</v>
      </c>
      <c r="M12" s="13" t="s">
        <v>381</v>
      </c>
      <c r="N12" s="14">
        <v>4800</v>
      </c>
      <c r="O12" s="13">
        <v>6</v>
      </c>
      <c r="P12" s="14">
        <v>28800</v>
      </c>
      <c r="Q12" s="45">
        <v>1701</v>
      </c>
      <c r="R12" s="49">
        <v>28800</v>
      </c>
      <c r="S12" s="49"/>
      <c r="T12" s="64">
        <f t="shared" si="0"/>
        <v>28800</v>
      </c>
      <c r="U12" s="125"/>
    </row>
    <row r="13" spans="1:21" ht="60" x14ac:dyDescent="0.2">
      <c r="A13" s="11" t="s">
        <v>497</v>
      </c>
      <c r="B13" s="12" t="s">
        <v>153</v>
      </c>
      <c r="C13" s="12">
        <v>57700</v>
      </c>
      <c r="D13" s="12" t="s">
        <v>827</v>
      </c>
      <c r="E13" s="12" t="s">
        <v>155</v>
      </c>
      <c r="F13" s="13" t="s">
        <v>378</v>
      </c>
      <c r="G13" s="12" t="s">
        <v>166</v>
      </c>
      <c r="H13" s="12" t="s">
        <v>653</v>
      </c>
      <c r="I13" s="12" t="s">
        <v>121</v>
      </c>
      <c r="J13" s="12"/>
      <c r="K13" s="12" t="s">
        <v>81</v>
      </c>
      <c r="L13" s="13" t="s">
        <v>381</v>
      </c>
      <c r="M13" s="13" t="s">
        <v>381</v>
      </c>
      <c r="N13" s="14">
        <v>10000</v>
      </c>
      <c r="O13" s="13">
        <v>1</v>
      </c>
      <c r="P13" s="14">
        <v>10000</v>
      </c>
      <c r="Q13" s="45">
        <v>1669</v>
      </c>
      <c r="R13" s="49">
        <v>10000</v>
      </c>
      <c r="S13" s="49"/>
      <c r="T13" s="64">
        <f t="shared" si="0"/>
        <v>10000</v>
      </c>
      <c r="U13" s="125"/>
    </row>
    <row r="14" spans="1:21" ht="60" x14ac:dyDescent="0.2">
      <c r="A14" s="11" t="s">
        <v>498</v>
      </c>
      <c r="B14" s="12" t="s">
        <v>153</v>
      </c>
      <c r="C14" s="12">
        <v>57700</v>
      </c>
      <c r="D14" s="12" t="s">
        <v>827</v>
      </c>
      <c r="E14" s="12" t="s">
        <v>155</v>
      </c>
      <c r="F14" s="13" t="s">
        <v>378</v>
      </c>
      <c r="G14" s="12" t="s">
        <v>167</v>
      </c>
      <c r="H14" s="12" t="s">
        <v>168</v>
      </c>
      <c r="I14" s="12" t="s">
        <v>121</v>
      </c>
      <c r="J14" s="12"/>
      <c r="K14" s="12" t="s">
        <v>81</v>
      </c>
      <c r="L14" s="13" t="s">
        <v>381</v>
      </c>
      <c r="M14" s="13" t="s">
        <v>381</v>
      </c>
      <c r="N14" s="14">
        <v>35000</v>
      </c>
      <c r="O14" s="13">
        <v>1</v>
      </c>
      <c r="P14" s="14">
        <v>35000</v>
      </c>
      <c r="Q14" s="45">
        <v>1670</v>
      </c>
      <c r="R14" s="49">
        <v>35000</v>
      </c>
      <c r="S14" s="50" t="s">
        <v>655</v>
      </c>
      <c r="T14" s="64">
        <f t="shared" si="0"/>
        <v>35000</v>
      </c>
      <c r="U14" s="125"/>
    </row>
    <row r="15" spans="1:21" ht="392.25" customHeight="1" x14ac:dyDescent="0.2">
      <c r="A15" s="11" t="s">
        <v>661</v>
      </c>
      <c r="B15" s="12" t="s">
        <v>171</v>
      </c>
      <c r="C15" s="12">
        <v>57720</v>
      </c>
      <c r="D15" s="12" t="s">
        <v>827</v>
      </c>
      <c r="E15" s="12" t="s">
        <v>173</v>
      </c>
      <c r="F15" s="13" t="s">
        <v>378</v>
      </c>
      <c r="G15" s="12" t="s">
        <v>662</v>
      </c>
      <c r="H15" s="12" t="s">
        <v>663</v>
      </c>
      <c r="I15" s="12" t="s">
        <v>121</v>
      </c>
      <c r="J15" s="12"/>
      <c r="K15" s="12"/>
      <c r="L15" s="13" t="s">
        <v>381</v>
      </c>
      <c r="M15" s="13" t="s">
        <v>381</v>
      </c>
      <c r="N15" s="14"/>
      <c r="O15" s="13">
        <v>40</v>
      </c>
      <c r="P15" s="14">
        <v>200000</v>
      </c>
      <c r="Q15" s="45">
        <v>1701</v>
      </c>
      <c r="R15" s="49">
        <v>200000</v>
      </c>
      <c r="S15" s="49"/>
      <c r="T15" s="64">
        <f t="shared" si="0"/>
        <v>200000</v>
      </c>
      <c r="U15" s="125"/>
    </row>
    <row r="16" spans="1:21" ht="60" x14ac:dyDescent="0.2">
      <c r="A16" s="11" t="s">
        <v>499</v>
      </c>
      <c r="B16" s="12" t="s">
        <v>153</v>
      </c>
      <c r="C16" s="12">
        <v>57700</v>
      </c>
      <c r="D16" s="12" t="s">
        <v>827</v>
      </c>
      <c r="E16" s="12" t="s">
        <v>155</v>
      </c>
      <c r="F16" s="13" t="s">
        <v>378</v>
      </c>
      <c r="G16" s="12" t="s">
        <v>169</v>
      </c>
      <c r="H16" s="12" t="s">
        <v>170</v>
      </c>
      <c r="I16" s="12" t="s">
        <v>121</v>
      </c>
      <c r="J16" s="12"/>
      <c r="K16" s="12" t="s">
        <v>26</v>
      </c>
      <c r="L16" s="13" t="s">
        <v>381</v>
      </c>
      <c r="M16" s="13" t="s">
        <v>381</v>
      </c>
      <c r="N16" s="14">
        <v>13000</v>
      </c>
      <c r="O16" s="13">
        <v>1</v>
      </c>
      <c r="P16" s="14">
        <v>13000</v>
      </c>
      <c r="Q16" s="45">
        <v>1671</v>
      </c>
      <c r="R16" s="49">
        <v>2500</v>
      </c>
      <c r="S16" s="49"/>
      <c r="T16" s="64">
        <f t="shared" si="0"/>
        <v>2500</v>
      </c>
      <c r="U16" s="125"/>
    </row>
    <row r="17" spans="1:21" ht="180" x14ac:dyDescent="0.2">
      <c r="A17" s="11" t="s">
        <v>494</v>
      </c>
      <c r="B17" s="12" t="s">
        <v>275</v>
      </c>
      <c r="C17" s="12">
        <v>57745</v>
      </c>
      <c r="D17" s="12" t="s">
        <v>827</v>
      </c>
      <c r="E17" s="12" t="s">
        <v>277</v>
      </c>
      <c r="F17" s="13" t="s">
        <v>375</v>
      </c>
      <c r="G17" s="12" t="s">
        <v>282</v>
      </c>
      <c r="H17" s="12" t="s">
        <v>283</v>
      </c>
      <c r="I17" s="12" t="s">
        <v>121</v>
      </c>
      <c r="J17" s="12"/>
      <c r="K17" s="12" t="s">
        <v>81</v>
      </c>
      <c r="L17" s="13" t="s">
        <v>381</v>
      </c>
      <c r="M17" s="13" t="s">
        <v>381</v>
      </c>
      <c r="N17" s="14">
        <v>1600</v>
      </c>
      <c r="O17" s="13">
        <v>20</v>
      </c>
      <c r="P17" s="14">
        <v>32000</v>
      </c>
      <c r="Q17" s="45">
        <v>1520</v>
      </c>
      <c r="R17" s="49">
        <v>23480</v>
      </c>
      <c r="S17" s="123" t="s">
        <v>658</v>
      </c>
      <c r="T17" s="64">
        <f t="shared" si="0"/>
        <v>23480</v>
      </c>
      <c r="U17" s="125"/>
    </row>
    <row r="18" spans="1:21" ht="330" x14ac:dyDescent="0.2">
      <c r="A18" s="11" t="s">
        <v>500</v>
      </c>
      <c r="B18" s="12" t="s">
        <v>246</v>
      </c>
      <c r="C18" s="12">
        <v>57620</v>
      </c>
      <c r="D18" s="12" t="s">
        <v>827</v>
      </c>
      <c r="E18" s="12" t="s">
        <v>248</v>
      </c>
      <c r="F18" s="13" t="s">
        <v>378</v>
      </c>
      <c r="G18" s="12" t="s">
        <v>249</v>
      </c>
      <c r="H18" s="12" t="s">
        <v>250</v>
      </c>
      <c r="I18" s="12" t="s">
        <v>121</v>
      </c>
      <c r="J18" s="12">
        <v>4.3</v>
      </c>
      <c r="K18" s="12" t="s">
        <v>26</v>
      </c>
      <c r="L18" s="13" t="s">
        <v>381</v>
      </c>
      <c r="M18" s="13" t="s">
        <v>381</v>
      </c>
      <c r="N18" s="14">
        <v>2000</v>
      </c>
      <c r="O18" s="13">
        <v>24</v>
      </c>
      <c r="P18" s="14">
        <v>48000</v>
      </c>
      <c r="Q18" s="45">
        <v>1701</v>
      </c>
      <c r="R18" s="49">
        <v>92000</v>
      </c>
      <c r="S18" s="50" t="s">
        <v>654</v>
      </c>
      <c r="T18" s="64">
        <f t="shared" si="0"/>
        <v>92000</v>
      </c>
      <c r="U18" s="125"/>
    </row>
    <row r="19" spans="1:21" ht="210" x14ac:dyDescent="0.2">
      <c r="A19" s="11" t="s">
        <v>504</v>
      </c>
      <c r="B19" s="12" t="s">
        <v>171</v>
      </c>
      <c r="C19" s="12">
        <v>57720</v>
      </c>
      <c r="D19" s="12" t="s">
        <v>827</v>
      </c>
      <c r="E19" s="12" t="s">
        <v>173</v>
      </c>
      <c r="F19" s="13" t="s">
        <v>378</v>
      </c>
      <c r="G19" s="12" t="s">
        <v>180</v>
      </c>
      <c r="H19" s="12" t="s">
        <v>181</v>
      </c>
      <c r="I19" s="12" t="s">
        <v>121</v>
      </c>
      <c r="J19" s="12">
        <v>4.3</v>
      </c>
      <c r="K19" s="12" t="s">
        <v>26</v>
      </c>
      <c r="L19" s="13" t="s">
        <v>381</v>
      </c>
      <c r="M19" s="13" t="s">
        <v>381</v>
      </c>
      <c r="N19" s="14">
        <v>587</v>
      </c>
      <c r="O19" s="13">
        <v>40</v>
      </c>
      <c r="P19" s="14">
        <v>23480</v>
      </c>
      <c r="Q19" s="45">
        <v>1701</v>
      </c>
      <c r="R19" s="49">
        <v>0</v>
      </c>
      <c r="S19" s="50" t="s">
        <v>664</v>
      </c>
      <c r="T19" s="64">
        <f t="shared" si="0"/>
        <v>0</v>
      </c>
      <c r="U19" s="125"/>
    </row>
    <row r="20" spans="1:21" ht="31.5" customHeight="1" x14ac:dyDescent="0.2">
      <c r="A20" s="11"/>
      <c r="B20" s="12"/>
      <c r="C20" s="12"/>
      <c r="D20" s="12"/>
      <c r="E20" s="12"/>
      <c r="F20" s="13"/>
      <c r="G20" s="12"/>
      <c r="H20" s="12"/>
      <c r="I20" s="45"/>
      <c r="J20" s="28"/>
      <c r="K20" s="28"/>
      <c r="L20" s="84"/>
      <c r="M20" s="13"/>
      <c r="N20" s="14"/>
      <c r="O20" s="13"/>
      <c r="P20" s="14"/>
      <c r="Q20" s="45"/>
      <c r="R20" s="49"/>
      <c r="S20" s="49"/>
      <c r="T20" s="64"/>
      <c r="U20" s="64"/>
    </row>
    <row r="21" spans="1:21" ht="34.5" customHeight="1" x14ac:dyDescent="0.2">
      <c r="A21" s="124"/>
      <c r="B21" s="95"/>
      <c r="C21" s="95"/>
      <c r="D21" s="95"/>
      <c r="E21" s="95"/>
      <c r="F21" s="96"/>
      <c r="G21" s="95"/>
      <c r="H21" s="95"/>
      <c r="I21" s="395" t="s">
        <v>576</v>
      </c>
      <c r="J21" s="396"/>
      <c r="K21" s="396"/>
      <c r="L21" s="397"/>
      <c r="M21" s="96"/>
      <c r="N21" s="97"/>
      <c r="O21" s="96"/>
      <c r="P21" s="97">
        <f>SUM(P5:P19)</f>
        <v>1703180</v>
      </c>
      <c r="Q21" s="115"/>
      <c r="R21" s="100">
        <f>SUM(R5:R19)</f>
        <v>961229</v>
      </c>
      <c r="S21" s="100"/>
      <c r="T21" s="100">
        <f>SUM(T5:T19)</f>
        <v>961229</v>
      </c>
      <c r="U21" s="120"/>
    </row>
    <row r="22" spans="1:21" ht="25.5" customHeight="1" x14ac:dyDescent="0.2">
      <c r="A22"/>
      <c r="B22"/>
      <c r="C22"/>
      <c r="D22"/>
      <c r="E22"/>
      <c r="F22"/>
      <c r="G22"/>
      <c r="H22"/>
      <c r="I22"/>
      <c r="J22"/>
      <c r="K22"/>
      <c r="L22"/>
      <c r="M22"/>
      <c r="N22"/>
      <c r="O22"/>
      <c r="P22"/>
      <c r="Q22"/>
      <c r="R22"/>
      <c r="S22"/>
      <c r="T22"/>
      <c r="U22"/>
    </row>
    <row r="23" spans="1:21" ht="30" customHeight="1" x14ac:dyDescent="0.2">
      <c r="A23" s="398" t="s">
        <v>673</v>
      </c>
      <c r="B23" s="399"/>
      <c r="C23" s="399"/>
      <c r="D23" s="399"/>
      <c r="E23" s="399"/>
      <c r="F23" s="399"/>
      <c r="G23" s="399"/>
      <c r="H23" s="400"/>
      <c r="I23" s="128"/>
      <c r="J23" s="129"/>
      <c r="K23" s="129"/>
      <c r="L23" s="130"/>
      <c r="M23" s="88"/>
      <c r="N23" s="89"/>
      <c r="O23" s="88"/>
      <c r="P23" s="89"/>
      <c r="Q23" s="90"/>
      <c r="R23" s="83"/>
      <c r="S23" s="83"/>
      <c r="T23" s="44"/>
      <c r="U23" s="44"/>
    </row>
    <row r="24" spans="1:21" ht="109.5" customHeight="1" x14ac:dyDescent="0.2">
      <c r="A24" s="11" t="s">
        <v>517</v>
      </c>
      <c r="B24" s="12" t="s">
        <v>211</v>
      </c>
      <c r="C24" s="12">
        <v>58020</v>
      </c>
      <c r="D24" s="12" t="s">
        <v>827</v>
      </c>
      <c r="E24" s="12" t="s">
        <v>235</v>
      </c>
      <c r="F24" s="13" t="s">
        <v>375</v>
      </c>
      <c r="G24" s="12" t="s">
        <v>236</v>
      </c>
      <c r="H24" s="12" t="s">
        <v>565</v>
      </c>
      <c r="I24" s="12" t="s">
        <v>13</v>
      </c>
      <c r="J24" s="12" t="s">
        <v>237</v>
      </c>
      <c r="K24" s="12" t="s">
        <v>26</v>
      </c>
      <c r="L24" s="13" t="s">
        <v>381</v>
      </c>
      <c r="M24" s="13" t="s">
        <v>381</v>
      </c>
      <c r="N24" s="14">
        <v>645</v>
      </c>
      <c r="O24" s="13">
        <v>2</v>
      </c>
      <c r="P24" s="14">
        <v>1290</v>
      </c>
      <c r="Q24" s="45">
        <v>1458</v>
      </c>
      <c r="R24" s="49">
        <f>P24</f>
        <v>1290</v>
      </c>
      <c r="S24" s="49"/>
      <c r="T24" s="64">
        <f t="shared" ref="T24:T45" si="1">R24</f>
        <v>1290</v>
      </c>
      <c r="U24" s="64"/>
    </row>
    <row r="25" spans="1:21" ht="90" x14ac:dyDescent="0.2">
      <c r="A25" s="11" t="s">
        <v>518</v>
      </c>
      <c r="B25" s="12" t="s">
        <v>211</v>
      </c>
      <c r="C25" s="12">
        <v>58020</v>
      </c>
      <c r="D25" s="12" t="s">
        <v>827</v>
      </c>
      <c r="E25" s="12" t="s">
        <v>235</v>
      </c>
      <c r="F25" s="13" t="s">
        <v>375</v>
      </c>
      <c r="G25" s="12" t="s">
        <v>238</v>
      </c>
      <c r="H25" s="12" t="s">
        <v>566</v>
      </c>
      <c r="I25" s="12" t="s">
        <v>13</v>
      </c>
      <c r="J25" s="12" t="s">
        <v>237</v>
      </c>
      <c r="K25" s="12" t="s">
        <v>26</v>
      </c>
      <c r="L25" s="13" t="s">
        <v>381</v>
      </c>
      <c r="M25" s="13" t="s">
        <v>381</v>
      </c>
      <c r="N25" s="14">
        <v>850</v>
      </c>
      <c r="O25" s="13">
        <v>6</v>
      </c>
      <c r="P25" s="14">
        <v>5100</v>
      </c>
      <c r="Q25" s="45">
        <v>1458</v>
      </c>
      <c r="R25" s="49">
        <f>P25</f>
        <v>5100</v>
      </c>
      <c r="S25" s="49"/>
      <c r="T25" s="64">
        <f t="shared" si="1"/>
        <v>5100</v>
      </c>
      <c r="U25" s="64"/>
    </row>
    <row r="26" spans="1:21" ht="96.75" customHeight="1" x14ac:dyDescent="0.2">
      <c r="A26" s="11" t="s">
        <v>519</v>
      </c>
      <c r="B26" s="12" t="s">
        <v>211</v>
      </c>
      <c r="C26" s="12">
        <v>58020</v>
      </c>
      <c r="D26" s="12" t="s">
        <v>827</v>
      </c>
      <c r="E26" s="12" t="s">
        <v>235</v>
      </c>
      <c r="F26" s="13" t="s">
        <v>375</v>
      </c>
      <c r="G26" s="12" t="s">
        <v>239</v>
      </c>
      <c r="H26" s="12" t="s">
        <v>567</v>
      </c>
      <c r="I26" s="12" t="s">
        <v>13</v>
      </c>
      <c r="J26" s="12" t="s">
        <v>237</v>
      </c>
      <c r="K26" s="12" t="s">
        <v>26</v>
      </c>
      <c r="L26" s="13" t="s">
        <v>381</v>
      </c>
      <c r="M26" s="13" t="s">
        <v>381</v>
      </c>
      <c r="N26" s="14">
        <v>875</v>
      </c>
      <c r="O26" s="13">
        <v>6</v>
      </c>
      <c r="P26" s="14">
        <v>5250</v>
      </c>
      <c r="Q26" s="45">
        <v>1458</v>
      </c>
      <c r="R26" s="49">
        <f>P26</f>
        <v>5250</v>
      </c>
      <c r="S26" s="49"/>
      <c r="T26" s="64">
        <f t="shared" si="1"/>
        <v>5250</v>
      </c>
      <c r="U26" s="64"/>
    </row>
    <row r="27" spans="1:21" ht="96.75" customHeight="1" x14ac:dyDescent="0.2">
      <c r="A27" s="11" t="s">
        <v>520</v>
      </c>
      <c r="B27" s="12" t="s">
        <v>211</v>
      </c>
      <c r="C27" s="12">
        <v>58020</v>
      </c>
      <c r="D27" s="12" t="s">
        <v>827</v>
      </c>
      <c r="E27" s="12" t="s">
        <v>235</v>
      </c>
      <c r="F27" s="13" t="s">
        <v>375</v>
      </c>
      <c r="G27" s="12" t="s">
        <v>240</v>
      </c>
      <c r="H27" s="12" t="s">
        <v>568</v>
      </c>
      <c r="I27" s="12" t="s">
        <v>13</v>
      </c>
      <c r="J27" s="12" t="s">
        <v>237</v>
      </c>
      <c r="K27" s="12" t="s">
        <v>26</v>
      </c>
      <c r="L27" s="13" t="s">
        <v>381</v>
      </c>
      <c r="M27" s="13" t="s">
        <v>381</v>
      </c>
      <c r="N27" s="14">
        <v>985</v>
      </c>
      <c r="O27" s="13">
        <v>3</v>
      </c>
      <c r="P27" s="14">
        <v>2955</v>
      </c>
      <c r="Q27" s="45">
        <v>1458</v>
      </c>
      <c r="R27" s="49">
        <f>P27</f>
        <v>2955</v>
      </c>
      <c r="S27" s="49"/>
      <c r="T27" s="64">
        <f t="shared" si="1"/>
        <v>2955</v>
      </c>
      <c r="U27" s="64"/>
    </row>
    <row r="28" spans="1:21" ht="93.75" customHeight="1" x14ac:dyDescent="0.2">
      <c r="A28" s="11" t="s">
        <v>521</v>
      </c>
      <c r="B28" s="12" t="s">
        <v>211</v>
      </c>
      <c r="C28" s="12">
        <v>58020</v>
      </c>
      <c r="D28" s="12" t="s">
        <v>827</v>
      </c>
      <c r="E28" s="12" t="s">
        <v>235</v>
      </c>
      <c r="F28" s="13" t="s">
        <v>375</v>
      </c>
      <c r="G28" s="12" t="s">
        <v>241</v>
      </c>
      <c r="H28" s="12" t="s">
        <v>569</v>
      </c>
      <c r="I28" s="12" t="s">
        <v>13</v>
      </c>
      <c r="J28" s="12" t="s">
        <v>237</v>
      </c>
      <c r="K28" s="12" t="s">
        <v>26</v>
      </c>
      <c r="L28" s="13" t="s">
        <v>381</v>
      </c>
      <c r="M28" s="13" t="s">
        <v>381</v>
      </c>
      <c r="N28" s="14">
        <v>650</v>
      </c>
      <c r="O28" s="13">
        <v>2</v>
      </c>
      <c r="P28" s="14">
        <v>1300</v>
      </c>
      <c r="Q28" s="45">
        <v>1458</v>
      </c>
      <c r="R28" s="49">
        <f>P28</f>
        <v>1300</v>
      </c>
      <c r="S28" s="49"/>
      <c r="T28" s="64">
        <f t="shared" si="1"/>
        <v>1300</v>
      </c>
      <c r="U28" s="64"/>
    </row>
    <row r="29" spans="1:21" ht="45" x14ac:dyDescent="0.2">
      <c r="A29" s="11" t="s">
        <v>524</v>
      </c>
      <c r="B29" s="12" t="s">
        <v>196</v>
      </c>
      <c r="C29" s="12">
        <v>58020</v>
      </c>
      <c r="D29" s="12" t="s">
        <v>827</v>
      </c>
      <c r="E29" s="12" t="s">
        <v>198</v>
      </c>
      <c r="F29" s="13" t="s">
        <v>375</v>
      </c>
      <c r="G29" s="12" t="s">
        <v>199</v>
      </c>
      <c r="H29" s="12" t="s">
        <v>199</v>
      </c>
      <c r="I29" s="12" t="s">
        <v>13</v>
      </c>
      <c r="J29" s="12"/>
      <c r="K29" s="12" t="s">
        <v>9</v>
      </c>
      <c r="L29" s="13" t="s">
        <v>381</v>
      </c>
      <c r="M29" s="13" t="s">
        <v>381</v>
      </c>
      <c r="N29" s="14">
        <v>2000</v>
      </c>
      <c r="O29" s="13">
        <v>3</v>
      </c>
      <c r="P29" s="14">
        <v>6000</v>
      </c>
      <c r="Q29" s="45">
        <v>1716</v>
      </c>
      <c r="R29" s="49">
        <v>6000</v>
      </c>
      <c r="S29" s="49"/>
      <c r="T29" s="64">
        <f t="shared" si="1"/>
        <v>6000</v>
      </c>
      <c r="U29" s="64"/>
    </row>
    <row r="30" spans="1:21" ht="409" x14ac:dyDescent="0.2">
      <c r="A30" s="11" t="s">
        <v>525</v>
      </c>
      <c r="B30" s="12" t="s">
        <v>200</v>
      </c>
      <c r="C30" s="12">
        <v>58020</v>
      </c>
      <c r="D30" s="12" t="s">
        <v>827</v>
      </c>
      <c r="E30" s="12" t="s">
        <v>206</v>
      </c>
      <c r="F30" s="13" t="s">
        <v>375</v>
      </c>
      <c r="G30" s="12" t="s">
        <v>207</v>
      </c>
      <c r="H30" s="12" t="s">
        <v>570</v>
      </c>
      <c r="I30" s="12" t="s">
        <v>13</v>
      </c>
      <c r="J30" s="12"/>
      <c r="K30" s="12" t="s">
        <v>208</v>
      </c>
      <c r="L30" s="13" t="s">
        <v>381</v>
      </c>
      <c r="M30" s="13" t="s">
        <v>381</v>
      </c>
      <c r="N30" s="14">
        <v>2800</v>
      </c>
      <c r="O30" s="13">
        <v>28</v>
      </c>
      <c r="P30" s="14">
        <v>78400</v>
      </c>
      <c r="Q30" s="45">
        <v>1435</v>
      </c>
      <c r="R30" s="49">
        <v>78400</v>
      </c>
      <c r="S30" s="49"/>
      <c r="T30" s="64">
        <f t="shared" si="1"/>
        <v>78400</v>
      </c>
      <c r="U30" s="64"/>
    </row>
    <row r="31" spans="1:21" ht="409" x14ac:dyDescent="0.2">
      <c r="A31" s="11" t="s">
        <v>526</v>
      </c>
      <c r="B31" s="12" t="s">
        <v>200</v>
      </c>
      <c r="C31" s="12">
        <v>58020</v>
      </c>
      <c r="D31" s="12" t="s">
        <v>827</v>
      </c>
      <c r="E31" s="12" t="s">
        <v>206</v>
      </c>
      <c r="F31" s="13" t="s">
        <v>375</v>
      </c>
      <c r="G31" s="12" t="s">
        <v>209</v>
      </c>
      <c r="H31" s="12" t="s">
        <v>571</v>
      </c>
      <c r="I31" s="12" t="s">
        <v>13</v>
      </c>
      <c r="J31" s="12"/>
      <c r="K31" s="12" t="s">
        <v>208</v>
      </c>
      <c r="L31" s="13" t="s">
        <v>381</v>
      </c>
      <c r="M31" s="13" t="s">
        <v>381</v>
      </c>
      <c r="N31" s="14">
        <v>3300</v>
      </c>
      <c r="O31" s="13">
        <v>20</v>
      </c>
      <c r="P31" s="14">
        <v>66000</v>
      </c>
      <c r="Q31" s="45">
        <v>1435</v>
      </c>
      <c r="R31" s="49">
        <v>66000</v>
      </c>
      <c r="S31" s="49"/>
      <c r="T31" s="64">
        <f t="shared" si="1"/>
        <v>66000</v>
      </c>
      <c r="U31" s="64"/>
    </row>
    <row r="32" spans="1:21" ht="409" x14ac:dyDescent="0.2">
      <c r="A32" s="11" t="s">
        <v>527</v>
      </c>
      <c r="B32" s="12" t="s">
        <v>200</v>
      </c>
      <c r="C32" s="12">
        <v>58020</v>
      </c>
      <c r="D32" s="12" t="s">
        <v>827</v>
      </c>
      <c r="E32" s="12" t="s">
        <v>206</v>
      </c>
      <c r="F32" s="13" t="s">
        <v>375</v>
      </c>
      <c r="G32" s="12" t="s">
        <v>210</v>
      </c>
      <c r="H32" s="12" t="s">
        <v>572</v>
      </c>
      <c r="I32" s="12" t="s">
        <v>13</v>
      </c>
      <c r="J32" s="12"/>
      <c r="K32" s="12" t="s">
        <v>26</v>
      </c>
      <c r="L32" s="13" t="s">
        <v>381</v>
      </c>
      <c r="M32" s="13" t="s">
        <v>381</v>
      </c>
      <c r="N32" s="14">
        <v>2000</v>
      </c>
      <c r="O32" s="13">
        <v>9</v>
      </c>
      <c r="P32" s="14">
        <v>18000</v>
      </c>
      <c r="Q32" s="45">
        <v>1435</v>
      </c>
      <c r="R32" s="49">
        <v>18000</v>
      </c>
      <c r="S32" s="49"/>
      <c r="T32" s="64">
        <f t="shared" si="1"/>
        <v>18000</v>
      </c>
      <c r="U32" s="64"/>
    </row>
    <row r="33" spans="1:21" ht="120" x14ac:dyDescent="0.2">
      <c r="A33" s="11" t="s">
        <v>513</v>
      </c>
      <c r="B33" s="12" t="s">
        <v>68</v>
      </c>
      <c r="C33" s="12">
        <v>57620</v>
      </c>
      <c r="D33" s="12" t="s">
        <v>827</v>
      </c>
      <c r="E33" s="12" t="s">
        <v>75</v>
      </c>
      <c r="F33" s="13" t="s">
        <v>375</v>
      </c>
      <c r="G33" s="12" t="s">
        <v>82</v>
      </c>
      <c r="H33" s="12" t="s">
        <v>83</v>
      </c>
      <c r="I33" s="12" t="s">
        <v>11</v>
      </c>
      <c r="J33" s="12"/>
      <c r="K33" s="12" t="s">
        <v>56</v>
      </c>
      <c r="L33" s="13" t="s">
        <v>381</v>
      </c>
      <c r="M33" s="13" t="s">
        <v>381</v>
      </c>
      <c r="N33" s="14">
        <v>10000</v>
      </c>
      <c r="O33" s="13">
        <v>1</v>
      </c>
      <c r="P33" s="14">
        <v>10000</v>
      </c>
      <c r="Q33" s="45">
        <v>1589</v>
      </c>
      <c r="R33" s="49">
        <v>10000</v>
      </c>
      <c r="S33" s="49"/>
      <c r="T33" s="64">
        <f t="shared" si="1"/>
        <v>10000</v>
      </c>
      <c r="U33" s="64"/>
    </row>
    <row r="34" spans="1:21" ht="165" x14ac:dyDescent="0.2">
      <c r="A34" s="11" t="s">
        <v>514</v>
      </c>
      <c r="B34" s="12" t="s">
        <v>68</v>
      </c>
      <c r="C34" s="12">
        <v>57620</v>
      </c>
      <c r="D34" s="12" t="s">
        <v>827</v>
      </c>
      <c r="E34" s="12" t="s">
        <v>75</v>
      </c>
      <c r="F34" s="13" t="s">
        <v>375</v>
      </c>
      <c r="G34" s="12" t="s">
        <v>84</v>
      </c>
      <c r="H34" s="12" t="s">
        <v>563</v>
      </c>
      <c r="I34" s="12" t="s">
        <v>11</v>
      </c>
      <c r="J34" s="12"/>
      <c r="K34" s="12" t="s">
        <v>81</v>
      </c>
      <c r="L34" s="13" t="s">
        <v>381</v>
      </c>
      <c r="M34" s="13" t="s">
        <v>381</v>
      </c>
      <c r="N34" s="14">
        <v>3000</v>
      </c>
      <c r="O34" s="13">
        <v>1</v>
      </c>
      <c r="P34" s="14">
        <v>3000</v>
      </c>
      <c r="Q34" s="45">
        <v>1589</v>
      </c>
      <c r="R34" s="49">
        <v>3000</v>
      </c>
      <c r="S34" s="49"/>
      <c r="T34" s="64">
        <f t="shared" si="1"/>
        <v>3000</v>
      </c>
      <c r="U34" s="64"/>
    </row>
    <row r="35" spans="1:21" ht="135" x14ac:dyDescent="0.2">
      <c r="A35" s="11" t="s">
        <v>507</v>
      </c>
      <c r="B35" s="12" t="s">
        <v>284</v>
      </c>
      <c r="C35" s="12">
        <v>57700</v>
      </c>
      <c r="D35" s="12" t="s">
        <v>827</v>
      </c>
      <c r="E35" s="12" t="s">
        <v>290</v>
      </c>
      <c r="F35" s="13" t="s">
        <v>375</v>
      </c>
      <c r="G35" s="12" t="s">
        <v>291</v>
      </c>
      <c r="H35" s="12" t="s">
        <v>656</v>
      </c>
      <c r="I35" s="12" t="s">
        <v>11</v>
      </c>
      <c r="J35" s="12"/>
      <c r="K35" s="12" t="s">
        <v>81</v>
      </c>
      <c r="L35" s="13" t="s">
        <v>381</v>
      </c>
      <c r="M35" s="13" t="s">
        <v>381</v>
      </c>
      <c r="N35" s="14">
        <v>1600</v>
      </c>
      <c r="O35" s="13">
        <v>38</v>
      </c>
      <c r="P35" s="14">
        <v>60800</v>
      </c>
      <c r="Q35" s="45">
        <v>1465</v>
      </c>
      <c r="R35" s="49">
        <v>38570</v>
      </c>
      <c r="S35" s="49" t="s">
        <v>669</v>
      </c>
      <c r="T35" s="64">
        <f t="shared" si="1"/>
        <v>38570</v>
      </c>
      <c r="U35" s="64"/>
    </row>
    <row r="36" spans="1:21" ht="90" x14ac:dyDescent="0.2">
      <c r="A36" s="11" t="s">
        <v>512</v>
      </c>
      <c r="B36" s="12" t="s">
        <v>284</v>
      </c>
      <c r="C36" s="12">
        <v>57700</v>
      </c>
      <c r="D36" s="12" t="s">
        <v>827</v>
      </c>
      <c r="E36" s="12" t="s">
        <v>290</v>
      </c>
      <c r="F36" s="13" t="s">
        <v>375</v>
      </c>
      <c r="G36" s="12" t="s">
        <v>299</v>
      </c>
      <c r="H36" s="12" t="s">
        <v>300</v>
      </c>
      <c r="I36" s="12" t="s">
        <v>11</v>
      </c>
      <c r="J36" s="12"/>
      <c r="K36" s="12" t="s">
        <v>81</v>
      </c>
      <c r="L36" s="13" t="s">
        <v>381</v>
      </c>
      <c r="M36" s="13" t="s">
        <v>381</v>
      </c>
      <c r="N36" s="14">
        <v>1600</v>
      </c>
      <c r="O36" s="13">
        <v>30</v>
      </c>
      <c r="P36" s="14">
        <v>48000</v>
      </c>
      <c r="Q36" s="45">
        <v>1470</v>
      </c>
      <c r="R36" s="49">
        <v>30450</v>
      </c>
      <c r="S36" s="49" t="s">
        <v>669</v>
      </c>
      <c r="T36" s="64">
        <f t="shared" si="1"/>
        <v>30450</v>
      </c>
      <c r="U36" s="64"/>
    </row>
    <row r="37" spans="1:21" ht="240" x14ac:dyDescent="0.2">
      <c r="A37" s="11" t="s">
        <v>515</v>
      </c>
      <c r="B37" s="12" t="s">
        <v>153</v>
      </c>
      <c r="C37" s="12">
        <v>57700</v>
      </c>
      <c r="D37" s="12" t="s">
        <v>827</v>
      </c>
      <c r="E37" s="12" t="s">
        <v>155</v>
      </c>
      <c r="F37" s="13" t="s">
        <v>378</v>
      </c>
      <c r="G37" s="12" t="s">
        <v>160</v>
      </c>
      <c r="H37" s="12" t="s">
        <v>161</v>
      </c>
      <c r="I37" s="12" t="s">
        <v>11</v>
      </c>
      <c r="J37" s="12"/>
      <c r="K37" s="12" t="s">
        <v>81</v>
      </c>
      <c r="L37" s="13" t="s">
        <v>381</v>
      </c>
      <c r="M37" s="13" t="s">
        <v>381</v>
      </c>
      <c r="N37" s="14">
        <v>1600</v>
      </c>
      <c r="O37" s="13">
        <v>56</v>
      </c>
      <c r="P37" s="14">
        <v>89600</v>
      </c>
      <c r="Q37" s="45">
        <v>1451</v>
      </c>
      <c r="R37" s="49">
        <v>18270</v>
      </c>
      <c r="S37" s="49" t="s">
        <v>668</v>
      </c>
      <c r="T37" s="64">
        <f t="shared" si="1"/>
        <v>18270</v>
      </c>
      <c r="U37" s="64"/>
    </row>
    <row r="38" spans="1:21" ht="180" x14ac:dyDescent="0.2">
      <c r="A38" s="11" t="s">
        <v>516</v>
      </c>
      <c r="B38" s="12" t="s">
        <v>153</v>
      </c>
      <c r="C38" s="12">
        <v>57700</v>
      </c>
      <c r="D38" s="12" t="s">
        <v>827</v>
      </c>
      <c r="E38" s="12" t="s">
        <v>155</v>
      </c>
      <c r="F38" s="13" t="s">
        <v>378</v>
      </c>
      <c r="G38" s="12" t="s">
        <v>162</v>
      </c>
      <c r="H38" s="12" t="s">
        <v>564</v>
      </c>
      <c r="I38" s="12" t="s">
        <v>11</v>
      </c>
      <c r="J38" s="12"/>
      <c r="K38" s="12" t="s">
        <v>81</v>
      </c>
      <c r="L38" s="13" t="s">
        <v>381</v>
      </c>
      <c r="M38" s="13" t="s">
        <v>381</v>
      </c>
      <c r="N38" s="14">
        <v>1600</v>
      </c>
      <c r="O38" s="13">
        <v>41</v>
      </c>
      <c r="P38" s="14">
        <v>65600</v>
      </c>
      <c r="Q38" s="45">
        <v>1452</v>
      </c>
      <c r="R38" s="49">
        <v>68183</v>
      </c>
      <c r="S38" s="49" t="s">
        <v>669</v>
      </c>
      <c r="T38" s="64">
        <f t="shared" si="1"/>
        <v>68183</v>
      </c>
      <c r="U38" s="64"/>
    </row>
    <row r="39" spans="1:21" ht="315" x14ac:dyDescent="0.2">
      <c r="A39" s="11" t="s">
        <v>502</v>
      </c>
      <c r="B39" s="12" t="s">
        <v>171</v>
      </c>
      <c r="C39" s="12">
        <v>57745</v>
      </c>
      <c r="D39" s="12" t="s">
        <v>827</v>
      </c>
      <c r="E39" s="12" t="s">
        <v>173</v>
      </c>
      <c r="F39" s="13" t="s">
        <v>378</v>
      </c>
      <c r="G39" s="12" t="s">
        <v>175</v>
      </c>
      <c r="H39" s="12" t="s">
        <v>562</v>
      </c>
      <c r="I39" s="12" t="s">
        <v>121</v>
      </c>
      <c r="J39" s="12">
        <v>4.3</v>
      </c>
      <c r="K39" s="12" t="s">
        <v>26</v>
      </c>
      <c r="L39" s="13" t="s">
        <v>381</v>
      </c>
      <c r="M39" s="13" t="s">
        <v>381</v>
      </c>
      <c r="N39" s="14">
        <v>1500</v>
      </c>
      <c r="O39" s="13">
        <v>115</v>
      </c>
      <c r="P39" s="14">
        <v>1214</v>
      </c>
      <c r="Q39" s="45">
        <v>1701</v>
      </c>
      <c r="R39" s="49">
        <v>12144</v>
      </c>
      <c r="S39" s="50" t="s">
        <v>670</v>
      </c>
      <c r="T39" s="64">
        <f t="shared" si="1"/>
        <v>12144</v>
      </c>
      <c r="U39" s="125"/>
    </row>
    <row r="40" spans="1:21" ht="240.75" customHeight="1" x14ac:dyDescent="0.2">
      <c r="A40" s="11" t="s">
        <v>501</v>
      </c>
      <c r="B40" s="12" t="s">
        <v>171</v>
      </c>
      <c r="C40" s="12">
        <v>57700</v>
      </c>
      <c r="D40" s="12" t="s">
        <v>827</v>
      </c>
      <c r="E40" s="12" t="s">
        <v>173</v>
      </c>
      <c r="F40" s="13" t="s">
        <v>378</v>
      </c>
      <c r="G40" s="12" t="s">
        <v>174</v>
      </c>
      <c r="H40" s="12" t="s">
        <v>561</v>
      </c>
      <c r="I40" s="12" t="s">
        <v>121</v>
      </c>
      <c r="J40" s="12">
        <v>4.3</v>
      </c>
      <c r="K40" s="12" t="s">
        <v>26</v>
      </c>
      <c r="L40" s="13" t="s">
        <v>381</v>
      </c>
      <c r="M40" s="13" t="s">
        <v>381</v>
      </c>
      <c r="N40" s="14">
        <v>1500</v>
      </c>
      <c r="O40" s="13">
        <v>596</v>
      </c>
      <c r="P40" s="14">
        <v>4060</v>
      </c>
      <c r="Q40" s="45">
        <v>1701</v>
      </c>
      <c r="R40" s="49">
        <v>4060</v>
      </c>
      <c r="S40" s="50" t="s">
        <v>671</v>
      </c>
      <c r="T40" s="64">
        <f t="shared" si="1"/>
        <v>4060</v>
      </c>
      <c r="U40" s="125"/>
    </row>
    <row r="41" spans="1:21" ht="113.25" customHeight="1" x14ac:dyDescent="0.2">
      <c r="A41" s="11" t="s">
        <v>522</v>
      </c>
      <c r="B41" s="12" t="s">
        <v>4</v>
      </c>
      <c r="C41" s="12">
        <v>57865</v>
      </c>
      <c r="D41" s="12" t="s">
        <v>827</v>
      </c>
      <c r="E41" s="12" t="s">
        <v>6</v>
      </c>
      <c r="F41" s="13" t="s">
        <v>375</v>
      </c>
      <c r="G41" s="12" t="s">
        <v>12</v>
      </c>
      <c r="H41" s="12" t="s">
        <v>12</v>
      </c>
      <c r="I41" s="12" t="s">
        <v>13</v>
      </c>
      <c r="J41" s="12"/>
      <c r="K41" s="12" t="s">
        <v>9</v>
      </c>
      <c r="L41" s="13" t="s">
        <v>380</v>
      </c>
      <c r="M41" s="13" t="s">
        <v>380</v>
      </c>
      <c r="N41" s="14">
        <v>20000</v>
      </c>
      <c r="O41" s="13">
        <v>1</v>
      </c>
      <c r="P41" s="14">
        <v>20000</v>
      </c>
      <c r="Q41" s="45">
        <v>1703</v>
      </c>
      <c r="R41" s="404">
        <v>50000</v>
      </c>
      <c r="S41" s="404" t="s">
        <v>667</v>
      </c>
      <c r="T41" s="64">
        <f t="shared" si="1"/>
        <v>50000</v>
      </c>
      <c r="U41" s="64"/>
    </row>
    <row r="42" spans="1:21" ht="75" x14ac:dyDescent="0.2">
      <c r="A42" s="11" t="s">
        <v>523</v>
      </c>
      <c r="B42" s="12" t="s">
        <v>4</v>
      </c>
      <c r="C42" s="12">
        <v>58020</v>
      </c>
      <c r="D42" s="12" t="s">
        <v>827</v>
      </c>
      <c r="E42" s="12" t="s">
        <v>6</v>
      </c>
      <c r="F42" s="13" t="s">
        <v>375</v>
      </c>
      <c r="G42" s="12" t="s">
        <v>14</v>
      </c>
      <c r="H42" s="12" t="s">
        <v>14</v>
      </c>
      <c r="I42" s="12" t="s">
        <v>13</v>
      </c>
      <c r="J42" s="12"/>
      <c r="K42" s="12" t="s">
        <v>9</v>
      </c>
      <c r="L42" s="13" t="s">
        <v>380</v>
      </c>
      <c r="M42" s="13" t="s">
        <v>380</v>
      </c>
      <c r="N42" s="14">
        <v>15000</v>
      </c>
      <c r="O42" s="13">
        <v>1</v>
      </c>
      <c r="P42" s="14">
        <v>15000</v>
      </c>
      <c r="Q42" s="45">
        <v>1703</v>
      </c>
      <c r="R42" s="405"/>
      <c r="S42" s="405"/>
      <c r="T42" s="64">
        <f t="shared" si="1"/>
        <v>0</v>
      </c>
      <c r="U42" s="64"/>
    </row>
    <row r="43" spans="1:21" ht="60" x14ac:dyDescent="0.2">
      <c r="A43" s="11" t="s">
        <v>506</v>
      </c>
      <c r="B43" s="12" t="s">
        <v>4</v>
      </c>
      <c r="C43" s="12">
        <v>57700</v>
      </c>
      <c r="D43" s="12" t="s">
        <v>827</v>
      </c>
      <c r="E43" s="12" t="s">
        <v>6</v>
      </c>
      <c r="F43" s="13" t="s">
        <v>375</v>
      </c>
      <c r="G43" s="12" t="s">
        <v>10</v>
      </c>
      <c r="H43" s="12"/>
      <c r="I43" s="12" t="s">
        <v>11</v>
      </c>
      <c r="J43" s="12"/>
      <c r="K43" s="12" t="s">
        <v>9</v>
      </c>
      <c r="L43" s="13" t="s">
        <v>380</v>
      </c>
      <c r="M43" s="13" t="s">
        <v>380</v>
      </c>
      <c r="N43" s="14">
        <v>15000</v>
      </c>
      <c r="O43" s="13">
        <v>1</v>
      </c>
      <c r="P43" s="14">
        <v>15000</v>
      </c>
      <c r="Q43" s="45">
        <v>1703</v>
      </c>
      <c r="R43" s="406"/>
      <c r="S43" s="406"/>
      <c r="T43" s="64">
        <f t="shared" si="1"/>
        <v>0</v>
      </c>
      <c r="U43" s="64"/>
    </row>
    <row r="44" spans="1:21" ht="90" x14ac:dyDescent="0.2">
      <c r="A44" s="11" t="s">
        <v>505</v>
      </c>
      <c r="B44" s="12" t="s">
        <v>312</v>
      </c>
      <c r="C44" s="12">
        <v>51310</v>
      </c>
      <c r="D44" s="12" t="s">
        <v>827</v>
      </c>
      <c r="E44" s="12" t="s">
        <v>314</v>
      </c>
      <c r="F44" s="13" t="s">
        <v>375</v>
      </c>
      <c r="G44" s="12" t="s">
        <v>316</v>
      </c>
      <c r="H44" s="12" t="s">
        <v>317</v>
      </c>
      <c r="I44" s="12" t="s">
        <v>11</v>
      </c>
      <c r="J44" s="12"/>
      <c r="K44" s="12" t="s">
        <v>26</v>
      </c>
      <c r="L44" s="13" t="s">
        <v>381</v>
      </c>
      <c r="M44" s="13" t="s">
        <v>381</v>
      </c>
      <c r="N44" s="14">
        <v>500</v>
      </c>
      <c r="O44" s="13">
        <v>2</v>
      </c>
      <c r="P44" s="14">
        <v>1000</v>
      </c>
      <c r="Q44" s="45">
        <v>1655</v>
      </c>
      <c r="R44" s="49"/>
      <c r="S44" s="49"/>
      <c r="T44" s="64">
        <f t="shared" si="1"/>
        <v>0</v>
      </c>
      <c r="U44" s="64"/>
    </row>
    <row r="45" spans="1:21" ht="90" x14ac:dyDescent="0.2">
      <c r="A45" s="11" t="s">
        <v>511</v>
      </c>
      <c r="B45" s="12" t="s">
        <v>284</v>
      </c>
      <c r="C45" s="12">
        <v>57700</v>
      </c>
      <c r="D45" s="12" t="s">
        <v>827</v>
      </c>
      <c r="E45" s="12" t="s">
        <v>290</v>
      </c>
      <c r="F45" s="13" t="s">
        <v>375</v>
      </c>
      <c r="G45" s="12" t="s">
        <v>297</v>
      </c>
      <c r="H45" s="12" t="s">
        <v>298</v>
      </c>
      <c r="I45" s="12" t="s">
        <v>11</v>
      </c>
      <c r="J45" s="12"/>
      <c r="K45" s="12" t="s">
        <v>81</v>
      </c>
      <c r="L45" s="13" t="s">
        <v>381</v>
      </c>
      <c r="M45" s="13" t="s">
        <v>381</v>
      </c>
      <c r="N45" s="14">
        <v>1600</v>
      </c>
      <c r="O45" s="13">
        <v>20</v>
      </c>
      <c r="P45" s="14">
        <v>32000</v>
      </c>
      <c r="Q45" s="45">
        <v>1469</v>
      </c>
      <c r="R45" s="49">
        <v>0</v>
      </c>
      <c r="S45" s="49"/>
      <c r="T45" s="64">
        <f t="shared" si="1"/>
        <v>0</v>
      </c>
      <c r="U45" s="64"/>
    </row>
    <row r="46" spans="1:21" ht="22.5" customHeight="1" x14ac:dyDescent="0.2">
      <c r="A46" s="11"/>
      <c r="B46" s="12"/>
      <c r="C46" s="12"/>
      <c r="D46" s="12"/>
      <c r="E46" s="12"/>
      <c r="F46" s="13"/>
      <c r="G46" s="12"/>
      <c r="H46" s="12"/>
      <c r="I46" s="45"/>
      <c r="J46" s="28"/>
      <c r="K46" s="28"/>
      <c r="L46" s="84"/>
      <c r="M46" s="13"/>
      <c r="N46" s="14"/>
      <c r="O46" s="13"/>
      <c r="P46" s="14"/>
      <c r="Q46" s="45"/>
      <c r="R46" s="49"/>
      <c r="S46" s="49"/>
      <c r="T46" s="64"/>
      <c r="U46" s="64"/>
    </row>
    <row r="47" spans="1:21" ht="39" customHeight="1" x14ac:dyDescent="0.2">
      <c r="A47" s="124"/>
      <c r="B47" s="95"/>
      <c r="C47" s="95"/>
      <c r="D47" s="95"/>
      <c r="E47" s="95"/>
      <c r="F47" s="96"/>
      <c r="G47" s="95"/>
      <c r="H47" s="95"/>
      <c r="I47" s="395" t="s">
        <v>672</v>
      </c>
      <c r="J47" s="396"/>
      <c r="K47" s="396"/>
      <c r="L47" s="397"/>
      <c r="M47" s="96"/>
      <c r="N47" s="97"/>
      <c r="O47" s="96"/>
      <c r="P47" s="97">
        <f>SUM(P24:P46)</f>
        <v>549569</v>
      </c>
      <c r="Q47" s="115"/>
      <c r="R47" s="100">
        <f>SUM(R24:R45)</f>
        <v>418972</v>
      </c>
      <c r="S47" s="119"/>
      <c r="T47" s="100">
        <f>SUM(T24:T45)</f>
        <v>418972</v>
      </c>
      <c r="U47" s="120"/>
    </row>
    <row r="48" spans="1:21" ht="27" customHeight="1" x14ac:dyDescent="0.2">
      <c r="A48" s="407" t="s">
        <v>73</v>
      </c>
      <c r="B48" s="408"/>
      <c r="C48" s="408"/>
      <c r="D48" s="408"/>
      <c r="E48" s="408"/>
      <c r="F48" s="408"/>
      <c r="G48" s="408"/>
      <c r="H48" s="409"/>
      <c r="I48" s="128"/>
      <c r="J48" s="129"/>
      <c r="K48" s="129"/>
      <c r="L48" s="130"/>
      <c r="M48" s="88"/>
      <c r="N48" s="89"/>
      <c r="O48" s="88"/>
      <c r="P48" s="89"/>
      <c r="Q48" s="90"/>
      <c r="R48" s="47">
        <f>R47-418972</f>
        <v>0</v>
      </c>
      <c r="S48" s="47"/>
      <c r="T48" s="44"/>
      <c r="U48" s="44"/>
    </row>
    <row r="49" spans="1:21" ht="141.75" customHeight="1" x14ac:dyDescent="0.2">
      <c r="A49" s="11" t="s">
        <v>493</v>
      </c>
      <c r="B49" s="12" t="s">
        <v>211</v>
      </c>
      <c r="C49" s="12">
        <v>57600</v>
      </c>
      <c r="D49" s="12" t="s">
        <v>827</v>
      </c>
      <c r="E49" s="12" t="s">
        <v>243</v>
      </c>
      <c r="F49" s="13" t="s">
        <v>375</v>
      </c>
      <c r="G49" s="12" t="s">
        <v>244</v>
      </c>
      <c r="H49" s="12" t="s">
        <v>822</v>
      </c>
      <c r="I49" s="12" t="s">
        <v>73</v>
      </c>
      <c r="J49" s="12">
        <v>1.2</v>
      </c>
      <c r="K49" s="12" t="s">
        <v>26</v>
      </c>
      <c r="L49" s="13" t="s">
        <v>381</v>
      </c>
      <c r="M49" s="13" t="s">
        <v>381</v>
      </c>
      <c r="N49" s="14">
        <v>1148</v>
      </c>
      <c r="O49" s="13">
        <v>7</v>
      </c>
      <c r="P49" s="14">
        <v>8036</v>
      </c>
      <c r="Q49" s="45">
        <v>1420</v>
      </c>
      <c r="R49" s="49">
        <v>8036</v>
      </c>
      <c r="S49" s="49"/>
      <c r="T49" s="64">
        <f t="shared" ref="T49:T53" si="2">R49</f>
        <v>8036</v>
      </c>
      <c r="U49" s="64"/>
    </row>
    <row r="50" spans="1:21" ht="186.75" customHeight="1" x14ac:dyDescent="0.2">
      <c r="A50" s="11" t="s">
        <v>528</v>
      </c>
      <c r="B50" s="12" t="s">
        <v>211</v>
      </c>
      <c r="C50" s="12">
        <v>57600</v>
      </c>
      <c r="D50" s="12" t="s">
        <v>827</v>
      </c>
      <c r="E50" s="12" t="s">
        <v>243</v>
      </c>
      <c r="F50" s="13" t="s">
        <v>375</v>
      </c>
      <c r="G50" s="12" t="s">
        <v>665</v>
      </c>
      <c r="H50" s="12" t="s">
        <v>573</v>
      </c>
      <c r="I50" s="12" t="s">
        <v>73</v>
      </c>
      <c r="J50" s="12">
        <v>1.2</v>
      </c>
      <c r="K50" s="12" t="s">
        <v>26</v>
      </c>
      <c r="L50" s="13" t="s">
        <v>380</v>
      </c>
      <c r="M50" s="13" t="s">
        <v>380</v>
      </c>
      <c r="N50" s="14">
        <v>5000</v>
      </c>
      <c r="O50" s="13">
        <v>3</v>
      </c>
      <c r="P50" s="14">
        <v>15000</v>
      </c>
      <c r="Q50" s="45">
        <v>1420</v>
      </c>
      <c r="R50" s="49">
        <v>15000</v>
      </c>
      <c r="S50" s="49"/>
      <c r="T50" s="64">
        <f t="shared" si="2"/>
        <v>15000</v>
      </c>
      <c r="U50" s="64"/>
    </row>
    <row r="51" spans="1:21" ht="180" x14ac:dyDescent="0.2">
      <c r="A51" s="11" t="s">
        <v>529</v>
      </c>
      <c r="B51" s="12" t="s">
        <v>68</v>
      </c>
      <c r="C51" s="12">
        <v>57620</v>
      </c>
      <c r="D51" s="12" t="s">
        <v>827</v>
      </c>
      <c r="E51" s="12" t="s">
        <v>75</v>
      </c>
      <c r="F51" s="13" t="s">
        <v>375</v>
      </c>
      <c r="G51" s="12" t="s">
        <v>85</v>
      </c>
      <c r="H51" s="12" t="s">
        <v>574</v>
      </c>
      <c r="I51" s="12" t="s">
        <v>73</v>
      </c>
      <c r="J51" s="12"/>
      <c r="K51" s="12" t="s">
        <v>86</v>
      </c>
      <c r="L51" s="13" t="s">
        <v>381</v>
      </c>
      <c r="M51" s="13" t="s">
        <v>381</v>
      </c>
      <c r="N51" s="14">
        <v>25000</v>
      </c>
      <c r="O51" s="13">
        <v>1</v>
      </c>
      <c r="P51" s="14">
        <v>25000</v>
      </c>
      <c r="Q51" s="45">
        <v>1589</v>
      </c>
      <c r="R51" s="49">
        <v>18000</v>
      </c>
      <c r="S51" s="50" t="s">
        <v>666</v>
      </c>
      <c r="T51" s="64">
        <f t="shared" si="2"/>
        <v>18000</v>
      </c>
      <c r="U51" s="64"/>
    </row>
    <row r="52" spans="1:21" ht="49.5" customHeight="1" x14ac:dyDescent="0.2">
      <c r="A52" s="11" t="s">
        <v>530</v>
      </c>
      <c r="B52" s="12" t="s">
        <v>68</v>
      </c>
      <c r="C52" s="12">
        <v>53120</v>
      </c>
      <c r="D52" s="12" t="s">
        <v>827</v>
      </c>
      <c r="E52" s="12" t="s">
        <v>88</v>
      </c>
      <c r="F52" s="13" t="s">
        <v>375</v>
      </c>
      <c r="G52" s="12" t="s">
        <v>89</v>
      </c>
      <c r="H52" s="12" t="s">
        <v>89</v>
      </c>
      <c r="I52" s="12" t="s">
        <v>73</v>
      </c>
      <c r="J52" s="12"/>
      <c r="K52" s="12" t="s">
        <v>26</v>
      </c>
      <c r="L52" s="13" t="s">
        <v>381</v>
      </c>
      <c r="M52" s="13" t="s">
        <v>381</v>
      </c>
      <c r="N52" s="14">
        <v>4000</v>
      </c>
      <c r="O52" s="13">
        <v>1</v>
      </c>
      <c r="P52" s="14">
        <v>4000</v>
      </c>
      <c r="Q52" s="45">
        <v>1592</v>
      </c>
      <c r="R52" s="49">
        <v>4000</v>
      </c>
      <c r="S52" s="49"/>
      <c r="T52" s="64">
        <f t="shared" si="2"/>
        <v>4000</v>
      </c>
      <c r="U52" s="64"/>
    </row>
    <row r="53" spans="1:21" ht="107.25" customHeight="1" x14ac:dyDescent="0.2">
      <c r="A53" s="11" t="s">
        <v>531</v>
      </c>
      <c r="B53" s="12" t="s">
        <v>145</v>
      </c>
      <c r="C53" s="12">
        <v>58255</v>
      </c>
      <c r="D53" s="12" t="s">
        <v>827</v>
      </c>
      <c r="E53" s="12" t="s">
        <v>42</v>
      </c>
      <c r="F53" s="13" t="s">
        <v>376</v>
      </c>
      <c r="G53" s="12" t="s">
        <v>147</v>
      </c>
      <c r="H53" s="12" t="s">
        <v>148</v>
      </c>
      <c r="I53" s="12" t="s">
        <v>73</v>
      </c>
      <c r="J53" s="12">
        <v>4.0999999999999996</v>
      </c>
      <c r="K53" s="12" t="s">
        <v>56</v>
      </c>
      <c r="L53" s="13" t="s">
        <v>381</v>
      </c>
      <c r="M53" s="13" t="s">
        <v>381</v>
      </c>
      <c r="N53" s="14">
        <v>30000</v>
      </c>
      <c r="O53" s="13">
        <v>1</v>
      </c>
      <c r="P53" s="14">
        <v>30000</v>
      </c>
      <c r="Q53" s="45">
        <v>1477</v>
      </c>
      <c r="R53" s="49">
        <v>30000</v>
      </c>
      <c r="S53" s="50" t="s">
        <v>808</v>
      </c>
      <c r="T53" s="64">
        <f t="shared" si="2"/>
        <v>30000</v>
      </c>
      <c r="U53" s="64"/>
    </row>
    <row r="54" spans="1:21" ht="30" customHeight="1" x14ac:dyDescent="0.2">
      <c r="A54" s="410" t="s">
        <v>577</v>
      </c>
      <c r="B54" s="410"/>
      <c r="C54" s="410"/>
      <c r="D54" s="410"/>
      <c r="E54" s="410"/>
      <c r="F54" s="410"/>
      <c r="G54" s="410"/>
      <c r="H54" s="410"/>
      <c r="I54" s="410"/>
      <c r="J54" s="410"/>
      <c r="K54" s="410"/>
      <c r="L54" s="410"/>
      <c r="M54" s="131"/>
      <c r="N54" s="132"/>
      <c r="O54" s="131"/>
      <c r="P54" s="133">
        <f>SUM(P49:P53)</f>
        <v>82036</v>
      </c>
      <c r="Q54" s="134"/>
      <c r="R54" s="354">
        <f>SUM(R49:R53)</f>
        <v>75036</v>
      </c>
      <c r="S54" s="354"/>
      <c r="T54" s="354">
        <f>SUM(T49:T53)</f>
        <v>75036</v>
      </c>
      <c r="U54" s="355"/>
    </row>
    <row r="55" spans="1:21" ht="27.75" customHeight="1" x14ac:dyDescent="0.2">
      <c r="A55" s="356" t="s">
        <v>677</v>
      </c>
      <c r="B55" s="357"/>
      <c r="C55" s="357"/>
      <c r="D55" s="357"/>
      <c r="E55" s="357"/>
      <c r="F55" s="358"/>
      <c r="G55" s="357"/>
      <c r="H55" s="357"/>
      <c r="I55" s="394"/>
      <c r="J55" s="394"/>
      <c r="K55" s="394"/>
      <c r="L55" s="394"/>
      <c r="M55" s="358"/>
      <c r="N55" s="357"/>
      <c r="O55" s="358"/>
      <c r="P55" s="359">
        <f>P54+P47+P21</f>
        <v>2334785</v>
      </c>
      <c r="Q55" s="357"/>
      <c r="R55" s="359">
        <f>R54+R47+R21</f>
        <v>1455237</v>
      </c>
      <c r="S55" s="135"/>
      <c r="T55" s="364">
        <f>T54+T47+T21</f>
        <v>1455237</v>
      </c>
      <c r="U55" s="136"/>
    </row>
    <row r="56" spans="1:21" s="33" customFormat="1" x14ac:dyDescent="0.2">
      <c r="A56" s="32" t="s">
        <v>678</v>
      </c>
      <c r="F56" s="38"/>
      <c r="L56" s="38"/>
      <c r="M56" s="38"/>
      <c r="O56" s="38"/>
      <c r="R56" s="32"/>
      <c r="S56" s="32"/>
      <c r="T56" s="32"/>
      <c r="U56" s="32"/>
    </row>
  </sheetData>
  <mergeCells count="13">
    <mergeCell ref="A1:O1"/>
    <mergeCell ref="R1:S1"/>
    <mergeCell ref="T1:U1"/>
    <mergeCell ref="I55:L55"/>
    <mergeCell ref="A4:H4"/>
    <mergeCell ref="I21:L21"/>
    <mergeCell ref="A23:H23"/>
    <mergeCell ref="A3:U3"/>
    <mergeCell ref="R41:R43"/>
    <mergeCell ref="S41:S43"/>
    <mergeCell ref="I47:L47"/>
    <mergeCell ref="A48:H48"/>
    <mergeCell ref="A54:L54"/>
  </mergeCells>
  <pageMargins left="0.45" right="0.45" top="0.5" bottom="0.5" header="0.3" footer="0.3"/>
  <pageSetup paperSize="5" scale="64" firstPageNumber="25" fitToHeight="0" orientation="landscape" useFirstPageNumber="1" r:id="rId1"/>
  <headerFooter>
    <oddFooter>&amp;RPage &amp;P</oddFooter>
  </headerFooter>
  <rowBreaks count="2" manualBreakCount="2">
    <brk id="22" max="20" man="1"/>
    <brk id="47"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1:U13"/>
  <sheetViews>
    <sheetView zoomScale="70" zoomScaleNormal="70" zoomScalePageLayoutView="70" workbookViewId="0">
      <selection activeCell="D2" sqref="D2"/>
    </sheetView>
  </sheetViews>
  <sheetFormatPr baseColWidth="10" defaultColWidth="8.83203125" defaultRowHeight="15" x14ac:dyDescent="0.2"/>
  <cols>
    <col min="1" max="1" width="10" style="32" bestFit="1" customWidth="1"/>
    <col min="2" max="2" width="13" style="33" customWidth="1"/>
    <col min="3" max="3" width="7.6640625" style="33" hidden="1" customWidth="1"/>
    <col min="4" max="4" width="11.5" style="33" bestFit="1" customWidth="1"/>
    <col min="5" max="5" width="14.6640625" style="33" customWidth="1"/>
    <col min="6" max="6" width="5.33203125" style="38" hidden="1" customWidth="1"/>
    <col min="7" max="7" width="15" style="33" customWidth="1"/>
    <col min="8" max="8" width="55.6640625" style="33" customWidth="1"/>
    <col min="9" max="9" width="13.33203125" style="33" customWidth="1"/>
    <col min="10" max="10" width="6.5" style="33" customWidth="1"/>
    <col min="11" max="11" width="11" style="33" customWidth="1"/>
    <col min="12" max="12" width="6.33203125" style="38" customWidth="1"/>
    <col min="13" max="13" width="5.83203125" style="38" customWidth="1"/>
    <col min="14" max="14" width="11.5" style="33" customWidth="1"/>
    <col min="15" max="15" width="6.6640625" style="38" hidden="1" customWidth="1"/>
    <col min="16" max="16" width="16" style="33" bestFit="1" customWidth="1"/>
    <col min="17" max="17" width="5.5" style="33" hidden="1" customWidth="1"/>
    <col min="18" max="18" width="15.6640625" style="32" bestFit="1" customWidth="1"/>
    <col min="19" max="19" width="22" style="32" customWidth="1"/>
    <col min="20" max="20" width="16.1640625" style="32" customWidth="1"/>
    <col min="21" max="21" width="17.6640625" style="32" customWidth="1"/>
    <col min="22" max="16384" width="8.83203125" style="32"/>
  </cols>
  <sheetData>
    <row r="1" spans="1:21" ht="25" thickBot="1" x14ac:dyDescent="0.25">
      <c r="A1" s="386" t="s">
        <v>575</v>
      </c>
      <c r="B1" s="386"/>
      <c r="C1" s="386"/>
      <c r="D1" s="386"/>
      <c r="E1" s="386"/>
      <c r="F1" s="386"/>
      <c r="G1" s="386"/>
      <c r="H1" s="386"/>
      <c r="I1" s="386"/>
      <c r="J1" s="386"/>
      <c r="K1" s="386"/>
      <c r="L1" s="386"/>
      <c r="M1" s="386"/>
      <c r="N1" s="386"/>
      <c r="O1" s="386"/>
      <c r="P1" s="16"/>
      <c r="Q1" s="16"/>
      <c r="R1" s="387" t="s">
        <v>583</v>
      </c>
      <c r="S1" s="388"/>
      <c r="T1" s="389" t="s">
        <v>584</v>
      </c>
      <c r="U1" s="390"/>
    </row>
    <row r="2" spans="1:21" ht="75.75" customHeight="1" thickBot="1" x14ac:dyDescent="0.25">
      <c r="A2" s="5" t="s">
        <v>382</v>
      </c>
      <c r="B2" s="6" t="s">
        <v>383</v>
      </c>
      <c r="C2" s="7" t="s">
        <v>0</v>
      </c>
      <c r="D2" s="367" t="s">
        <v>384</v>
      </c>
      <c r="E2" s="6" t="s">
        <v>385</v>
      </c>
      <c r="F2" s="8" t="s">
        <v>374</v>
      </c>
      <c r="G2" s="5" t="s">
        <v>386</v>
      </c>
      <c r="H2" s="6" t="s">
        <v>1</v>
      </c>
      <c r="I2" s="6" t="s">
        <v>387</v>
      </c>
      <c r="J2" s="9" t="s">
        <v>388</v>
      </c>
      <c r="K2" s="6" t="s">
        <v>389</v>
      </c>
      <c r="L2" s="9" t="s">
        <v>390</v>
      </c>
      <c r="M2" s="9" t="s">
        <v>391</v>
      </c>
      <c r="N2" s="10" t="s">
        <v>392</v>
      </c>
      <c r="O2" s="8" t="s">
        <v>2</v>
      </c>
      <c r="P2" s="10" t="s">
        <v>393</v>
      </c>
      <c r="Q2" s="73" t="s">
        <v>3</v>
      </c>
      <c r="R2" s="74" t="s">
        <v>585</v>
      </c>
      <c r="S2" s="75" t="s">
        <v>586</v>
      </c>
      <c r="T2" s="60" t="s">
        <v>587</v>
      </c>
      <c r="U2" s="61" t="s">
        <v>586</v>
      </c>
    </row>
    <row r="3" spans="1:21" ht="30.75" customHeight="1" x14ac:dyDescent="0.2">
      <c r="A3" s="30" t="s">
        <v>679</v>
      </c>
      <c r="B3" s="28"/>
      <c r="C3" s="28"/>
      <c r="D3" s="28"/>
      <c r="E3" s="28"/>
      <c r="F3" s="26"/>
      <c r="G3" s="28"/>
      <c r="H3" s="24"/>
      <c r="I3" s="12"/>
      <c r="J3" s="12"/>
      <c r="K3" s="12"/>
      <c r="L3" s="13"/>
      <c r="M3" s="13"/>
      <c r="N3" s="14"/>
      <c r="O3" s="13"/>
      <c r="P3" s="25"/>
      <c r="Q3" s="66"/>
      <c r="R3" s="51"/>
      <c r="S3" s="58"/>
      <c r="T3" s="64"/>
      <c r="U3" s="64"/>
    </row>
    <row r="4" spans="1:21" ht="120" x14ac:dyDescent="0.2">
      <c r="A4" s="11" t="s">
        <v>401</v>
      </c>
      <c r="B4" s="12" t="s">
        <v>211</v>
      </c>
      <c r="C4" s="12">
        <v>53210</v>
      </c>
      <c r="D4" s="12" t="s">
        <v>826</v>
      </c>
      <c r="E4" s="12" t="s">
        <v>219</v>
      </c>
      <c r="F4" s="13" t="s">
        <v>375</v>
      </c>
      <c r="G4" s="12" t="s">
        <v>220</v>
      </c>
      <c r="H4" s="12" t="s">
        <v>536</v>
      </c>
      <c r="I4" s="12" t="s">
        <v>8</v>
      </c>
      <c r="J4" s="12">
        <v>1.2</v>
      </c>
      <c r="K4" s="12" t="s">
        <v>56</v>
      </c>
      <c r="L4" s="13" t="s">
        <v>380</v>
      </c>
      <c r="M4" s="13" t="s">
        <v>380</v>
      </c>
      <c r="N4" s="14">
        <v>3000</v>
      </c>
      <c r="O4" s="13">
        <v>1</v>
      </c>
      <c r="P4" s="14">
        <v>3000</v>
      </c>
      <c r="Q4" s="45">
        <v>1456</v>
      </c>
      <c r="R4" s="49">
        <v>6000</v>
      </c>
      <c r="S4" s="70" t="s">
        <v>619</v>
      </c>
      <c r="T4" s="64">
        <f>R4</f>
        <v>6000</v>
      </c>
      <c r="U4" s="64"/>
    </row>
    <row r="5" spans="1:21" ht="331.5" customHeight="1" x14ac:dyDescent="0.2">
      <c r="A5" s="11" t="s">
        <v>402</v>
      </c>
      <c r="B5" s="12" t="s">
        <v>211</v>
      </c>
      <c r="C5" s="12">
        <v>51230</v>
      </c>
      <c r="D5" s="12" t="s">
        <v>826</v>
      </c>
      <c r="E5" s="12" t="s">
        <v>219</v>
      </c>
      <c r="F5" s="13" t="s">
        <v>375</v>
      </c>
      <c r="G5" s="12" t="s">
        <v>221</v>
      </c>
      <c r="H5" s="12" t="s">
        <v>537</v>
      </c>
      <c r="I5" s="12" t="s">
        <v>8</v>
      </c>
      <c r="J5" s="12">
        <v>1.2</v>
      </c>
      <c r="K5" s="12" t="s">
        <v>26</v>
      </c>
      <c r="L5" s="13" t="s">
        <v>380</v>
      </c>
      <c r="M5" s="13" t="s">
        <v>380</v>
      </c>
      <c r="N5" s="14">
        <v>53781</v>
      </c>
      <c r="O5" s="13">
        <v>1</v>
      </c>
      <c r="P5" s="14">
        <v>53781</v>
      </c>
      <c r="Q5" s="45">
        <v>1456</v>
      </c>
      <c r="R5" s="49">
        <v>53781</v>
      </c>
      <c r="S5" s="70" t="s">
        <v>619</v>
      </c>
      <c r="T5" s="64">
        <f t="shared" ref="T5:T12" si="0">R5</f>
        <v>53781</v>
      </c>
      <c r="U5" s="64"/>
    </row>
    <row r="6" spans="1:21" ht="165" x14ac:dyDescent="0.2">
      <c r="A6" s="11" t="s">
        <v>403</v>
      </c>
      <c r="B6" s="12" t="s">
        <v>211</v>
      </c>
      <c r="C6" s="12">
        <v>51130</v>
      </c>
      <c r="D6" s="12" t="s">
        <v>826</v>
      </c>
      <c r="E6" s="12" t="s">
        <v>219</v>
      </c>
      <c r="F6" s="13" t="s">
        <v>375</v>
      </c>
      <c r="G6" s="12" t="s">
        <v>222</v>
      </c>
      <c r="H6" s="12" t="s">
        <v>538</v>
      </c>
      <c r="I6" s="12" t="s">
        <v>8</v>
      </c>
      <c r="J6" s="12">
        <v>1.2</v>
      </c>
      <c r="K6" s="12" t="s">
        <v>29</v>
      </c>
      <c r="L6" s="13" t="s">
        <v>380</v>
      </c>
      <c r="M6" s="13" t="s">
        <v>380</v>
      </c>
      <c r="N6" s="14">
        <v>10000</v>
      </c>
      <c r="O6" s="13">
        <v>1</v>
      </c>
      <c r="P6" s="14">
        <v>10000</v>
      </c>
      <c r="Q6" s="45">
        <v>1456</v>
      </c>
      <c r="R6" s="49">
        <v>10000</v>
      </c>
      <c r="S6" s="70"/>
      <c r="T6" s="64">
        <f t="shared" si="0"/>
        <v>10000</v>
      </c>
      <c r="U6" s="64"/>
    </row>
    <row r="7" spans="1:21" ht="75" x14ac:dyDescent="0.2">
      <c r="A7" s="11" t="s">
        <v>406</v>
      </c>
      <c r="B7" s="12" t="s">
        <v>211</v>
      </c>
      <c r="C7" s="12">
        <v>51310</v>
      </c>
      <c r="D7" s="12" t="s">
        <v>826</v>
      </c>
      <c r="E7" s="12" t="s">
        <v>219</v>
      </c>
      <c r="F7" s="13" t="s">
        <v>375</v>
      </c>
      <c r="G7" s="12" t="s">
        <v>232</v>
      </c>
      <c r="H7" s="12" t="s">
        <v>233</v>
      </c>
      <c r="I7" s="12" t="s">
        <v>8</v>
      </c>
      <c r="J7" s="12">
        <v>1.2</v>
      </c>
      <c r="K7" s="12" t="s">
        <v>32</v>
      </c>
      <c r="L7" s="13" t="s">
        <v>380</v>
      </c>
      <c r="M7" s="13" t="s">
        <v>380</v>
      </c>
      <c r="N7" s="14">
        <v>20000</v>
      </c>
      <c r="O7" s="13">
        <v>1</v>
      </c>
      <c r="P7" s="14">
        <v>20000</v>
      </c>
      <c r="Q7" s="45">
        <v>1456</v>
      </c>
      <c r="R7" s="49">
        <v>20000</v>
      </c>
      <c r="S7" s="70" t="s">
        <v>619</v>
      </c>
      <c r="T7" s="64">
        <f t="shared" si="0"/>
        <v>20000</v>
      </c>
      <c r="U7" s="64"/>
    </row>
    <row r="8" spans="1:21" ht="348" customHeight="1" x14ac:dyDescent="0.2">
      <c r="A8" s="11" t="s">
        <v>427</v>
      </c>
      <c r="B8" s="12" t="s">
        <v>190</v>
      </c>
      <c r="C8" s="12">
        <v>51230</v>
      </c>
      <c r="D8" s="12" t="s">
        <v>826</v>
      </c>
      <c r="E8" s="12" t="s">
        <v>192</v>
      </c>
      <c r="F8" s="13" t="s">
        <v>375</v>
      </c>
      <c r="G8" s="12" t="s">
        <v>193</v>
      </c>
      <c r="H8" s="12" t="s">
        <v>545</v>
      </c>
      <c r="I8" s="12" t="s">
        <v>8</v>
      </c>
      <c r="J8" s="12"/>
      <c r="K8" s="12" t="s">
        <v>26</v>
      </c>
      <c r="L8" s="13" t="s">
        <v>380</v>
      </c>
      <c r="M8" s="13" t="s">
        <v>381</v>
      </c>
      <c r="N8" s="14">
        <v>31000</v>
      </c>
      <c r="O8" s="13">
        <v>1</v>
      </c>
      <c r="P8" s="14">
        <v>31000</v>
      </c>
      <c r="Q8" s="45">
        <v>951</v>
      </c>
      <c r="R8" s="49">
        <v>35000</v>
      </c>
      <c r="S8" s="70" t="s">
        <v>619</v>
      </c>
      <c r="T8" s="64">
        <f t="shared" si="0"/>
        <v>35000</v>
      </c>
      <c r="U8" s="64"/>
    </row>
    <row r="9" spans="1:21" ht="65.25" customHeight="1" x14ac:dyDescent="0.2">
      <c r="A9" s="11" t="s">
        <v>428</v>
      </c>
      <c r="B9" s="12" t="s">
        <v>284</v>
      </c>
      <c r="C9" s="12">
        <v>51310</v>
      </c>
      <c r="D9" s="12" t="s">
        <v>826</v>
      </c>
      <c r="E9" s="12" t="s">
        <v>286</v>
      </c>
      <c r="F9" s="13" t="s">
        <v>375</v>
      </c>
      <c r="G9" s="12" t="s">
        <v>287</v>
      </c>
      <c r="H9" s="12" t="s">
        <v>288</v>
      </c>
      <c r="I9" s="12" t="s">
        <v>8</v>
      </c>
      <c r="J9" s="12"/>
      <c r="K9" s="12" t="s">
        <v>81</v>
      </c>
      <c r="L9" s="13" t="s">
        <v>380</v>
      </c>
      <c r="M9" s="13" t="s">
        <v>381</v>
      </c>
      <c r="N9" s="14">
        <v>12000</v>
      </c>
      <c r="O9" s="13">
        <v>1</v>
      </c>
      <c r="P9" s="14">
        <v>12000</v>
      </c>
      <c r="Q9" s="45">
        <v>1432</v>
      </c>
      <c r="R9" s="49">
        <v>0</v>
      </c>
      <c r="S9" s="69" t="s">
        <v>623</v>
      </c>
      <c r="T9" s="64">
        <f t="shared" si="0"/>
        <v>0</v>
      </c>
      <c r="U9" s="64"/>
    </row>
    <row r="10" spans="1:21" ht="360" x14ac:dyDescent="0.2">
      <c r="A10" s="11" t="s">
        <v>433</v>
      </c>
      <c r="B10" s="12" t="s">
        <v>200</v>
      </c>
      <c r="C10" s="12">
        <v>51130</v>
      </c>
      <c r="D10" s="12" t="s">
        <v>826</v>
      </c>
      <c r="E10" s="12" t="s">
        <v>202</v>
      </c>
      <c r="F10" s="13" t="s">
        <v>375</v>
      </c>
      <c r="G10" s="12" t="s">
        <v>203</v>
      </c>
      <c r="H10" s="12" t="s">
        <v>548</v>
      </c>
      <c r="I10" s="12" t="s">
        <v>8</v>
      </c>
      <c r="J10" s="12"/>
      <c r="K10" s="12" t="s">
        <v>26</v>
      </c>
      <c r="L10" s="13" t="s">
        <v>380</v>
      </c>
      <c r="M10" s="13" t="s">
        <v>380</v>
      </c>
      <c r="N10" s="14">
        <v>70000</v>
      </c>
      <c r="O10" s="13">
        <v>1</v>
      </c>
      <c r="P10" s="14">
        <v>70000</v>
      </c>
      <c r="Q10" s="45">
        <v>1436</v>
      </c>
      <c r="R10" s="49">
        <v>70000</v>
      </c>
      <c r="S10" s="70" t="s">
        <v>618</v>
      </c>
      <c r="T10" s="64">
        <f t="shared" si="0"/>
        <v>70000</v>
      </c>
      <c r="U10" s="64"/>
    </row>
    <row r="11" spans="1:21" ht="36.75" customHeight="1" x14ac:dyDescent="0.2">
      <c r="A11" s="11" t="s">
        <v>620</v>
      </c>
      <c r="B11" s="12" t="s">
        <v>621</v>
      </c>
      <c r="C11" s="12"/>
      <c r="D11" s="12" t="s">
        <v>826</v>
      </c>
      <c r="E11" s="12" t="s">
        <v>198</v>
      </c>
      <c r="F11" s="13" t="s">
        <v>375</v>
      </c>
      <c r="G11" s="12"/>
      <c r="H11" s="12" t="s">
        <v>622</v>
      </c>
      <c r="I11" s="12"/>
      <c r="J11" s="12"/>
      <c r="K11" s="12"/>
      <c r="L11" s="13"/>
      <c r="M11" s="13"/>
      <c r="N11" s="14"/>
      <c r="O11" s="13"/>
      <c r="P11" s="25">
        <v>30000</v>
      </c>
      <c r="Q11" s="66"/>
      <c r="R11" s="49">
        <v>30000</v>
      </c>
      <c r="S11" s="70" t="s">
        <v>618</v>
      </c>
      <c r="T11" s="64">
        <f t="shared" si="0"/>
        <v>30000</v>
      </c>
      <c r="U11" s="64"/>
    </row>
    <row r="12" spans="1:21" ht="36.75" customHeight="1" x14ac:dyDescent="0.2">
      <c r="A12" s="11" t="s">
        <v>811</v>
      </c>
      <c r="B12" s="12" t="str">
        <f>B11</f>
        <v>Mosley/ DiGianfilippo</v>
      </c>
      <c r="C12" s="12"/>
      <c r="D12" s="12" t="s">
        <v>826</v>
      </c>
      <c r="E12" s="12" t="s">
        <v>813</v>
      </c>
      <c r="F12" s="13"/>
      <c r="G12" s="12"/>
      <c r="H12" s="12" t="s">
        <v>812</v>
      </c>
      <c r="I12" s="12"/>
      <c r="J12" s="12"/>
      <c r="K12" s="12"/>
      <c r="L12" s="13"/>
      <c r="M12" s="13"/>
      <c r="N12" s="14"/>
      <c r="O12" s="13"/>
      <c r="P12" s="14">
        <v>59185</v>
      </c>
      <c r="Q12" s="66"/>
      <c r="R12" s="49">
        <f>283966-278966+54185</f>
        <v>59185</v>
      </c>
      <c r="S12" s="70" t="s">
        <v>618</v>
      </c>
      <c r="T12" s="64">
        <f t="shared" si="0"/>
        <v>59185</v>
      </c>
      <c r="U12" s="64"/>
    </row>
    <row r="13" spans="1:21" ht="36.75" customHeight="1" x14ac:dyDescent="0.2">
      <c r="A13" s="411" t="s">
        <v>627</v>
      </c>
      <c r="B13" s="412"/>
      <c r="C13" s="412"/>
      <c r="D13" s="412"/>
      <c r="E13" s="412"/>
      <c r="F13" s="412"/>
      <c r="G13" s="412"/>
      <c r="H13" s="413"/>
      <c r="I13" s="103"/>
      <c r="J13" s="103"/>
      <c r="K13" s="103"/>
      <c r="L13" s="103"/>
      <c r="M13" s="103"/>
      <c r="N13" s="104"/>
      <c r="O13" s="103"/>
      <c r="P13" s="102">
        <f>SUM(P4:P12)</f>
        <v>288966</v>
      </c>
      <c r="Q13" s="105"/>
      <c r="R13" s="100">
        <f>SUM(R4:R12)</f>
        <v>283966</v>
      </c>
      <c r="S13" s="106"/>
      <c r="T13" s="102">
        <f>SUM(T4:T12)</f>
        <v>283966</v>
      </c>
      <c r="U13" s="102"/>
    </row>
  </sheetData>
  <mergeCells count="4">
    <mergeCell ref="A13:H13"/>
    <mergeCell ref="A1:O1"/>
    <mergeCell ref="R1:S1"/>
    <mergeCell ref="T1:U1"/>
  </mergeCells>
  <pageMargins left="0.45" right="0.45" top="0.5" bottom="0.5" header="0.3" footer="0.3"/>
  <pageSetup paperSize="5" scale="67" firstPageNumber="36" fitToHeight="0" orientation="landscape" useFirstPageNumber="1" r:id="rId1"/>
  <headerFoot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pageSetUpPr fitToPage="1"/>
  </sheetPr>
  <dimension ref="A1:U13"/>
  <sheetViews>
    <sheetView zoomScale="70" zoomScaleNormal="70" zoomScalePageLayoutView="70" workbookViewId="0">
      <selection activeCell="A5" sqref="A5"/>
    </sheetView>
  </sheetViews>
  <sheetFormatPr baseColWidth="10" defaultColWidth="8.83203125" defaultRowHeight="15" x14ac:dyDescent="0.2"/>
  <cols>
    <col min="1" max="1" width="10" style="32" bestFit="1" customWidth="1"/>
    <col min="2" max="2" width="12.33203125" style="33" customWidth="1"/>
    <col min="3" max="3" width="7.6640625" style="33" hidden="1" customWidth="1"/>
    <col min="4" max="4" width="12.5" style="33" customWidth="1"/>
    <col min="5" max="5" width="14.6640625" style="33" customWidth="1"/>
    <col min="6" max="6" width="5.33203125" style="38" hidden="1" customWidth="1"/>
    <col min="7" max="7" width="15" style="33" customWidth="1"/>
    <col min="8" max="8" width="55.6640625" style="33" customWidth="1"/>
    <col min="9" max="9" width="13.33203125" style="33" customWidth="1"/>
    <col min="10" max="10" width="6.5" style="33" hidden="1" customWidth="1"/>
    <col min="11" max="11" width="11" style="33" hidden="1" customWidth="1"/>
    <col min="12" max="12" width="6.33203125" style="38" hidden="1" customWidth="1"/>
    <col min="13" max="13" width="5.83203125" style="38" hidden="1" customWidth="1"/>
    <col min="14" max="14" width="11.5" style="33" customWidth="1"/>
    <col min="15" max="15" width="6.6640625" style="38" hidden="1" customWidth="1"/>
    <col min="16" max="16" width="16" style="33" bestFit="1" customWidth="1"/>
    <col min="17" max="17" width="5.5" style="33" hidden="1" customWidth="1"/>
    <col min="18" max="18" width="15.6640625" style="32" bestFit="1" customWidth="1"/>
    <col min="19" max="19" width="22" style="32" customWidth="1"/>
    <col min="20" max="20" width="16.1640625" style="32" customWidth="1"/>
    <col min="21" max="21" width="17.6640625" style="32" customWidth="1"/>
    <col min="22" max="16384" width="8.83203125" style="32"/>
  </cols>
  <sheetData>
    <row r="1" spans="1:21" ht="25" thickBot="1" x14ac:dyDescent="0.25">
      <c r="A1" s="386" t="s">
        <v>575</v>
      </c>
      <c r="B1" s="386"/>
      <c r="C1" s="386"/>
      <c r="D1" s="386"/>
      <c r="E1" s="386"/>
      <c r="F1" s="386"/>
      <c r="G1" s="386"/>
      <c r="H1" s="386"/>
      <c r="I1" s="386"/>
      <c r="J1" s="386"/>
      <c r="K1" s="386"/>
      <c r="L1" s="386"/>
      <c r="M1" s="386"/>
      <c r="N1" s="386"/>
      <c r="O1" s="386"/>
      <c r="P1" s="16"/>
      <c r="Q1" s="16"/>
      <c r="R1" s="387" t="s">
        <v>583</v>
      </c>
      <c r="S1" s="388"/>
      <c r="T1" s="389" t="s">
        <v>584</v>
      </c>
      <c r="U1" s="390"/>
    </row>
    <row r="2" spans="1:21" ht="75.75" customHeight="1" thickBot="1" x14ac:dyDescent="0.25">
      <c r="A2" s="5" t="s">
        <v>382</v>
      </c>
      <c r="B2" s="6" t="s">
        <v>383</v>
      </c>
      <c r="C2" s="7" t="s">
        <v>0</v>
      </c>
      <c r="D2" s="367" t="s">
        <v>384</v>
      </c>
      <c r="E2" s="6" t="s">
        <v>385</v>
      </c>
      <c r="F2" s="8" t="s">
        <v>374</v>
      </c>
      <c r="G2" s="5" t="s">
        <v>386</v>
      </c>
      <c r="H2" s="6" t="s">
        <v>1</v>
      </c>
      <c r="I2" s="6" t="s">
        <v>387</v>
      </c>
      <c r="J2" s="9" t="s">
        <v>388</v>
      </c>
      <c r="K2" s="6" t="s">
        <v>389</v>
      </c>
      <c r="L2" s="9" t="s">
        <v>390</v>
      </c>
      <c r="M2" s="9" t="s">
        <v>391</v>
      </c>
      <c r="N2" s="10" t="s">
        <v>392</v>
      </c>
      <c r="O2" s="8" t="s">
        <v>2</v>
      </c>
      <c r="P2" s="10" t="s">
        <v>393</v>
      </c>
      <c r="Q2" s="73" t="s">
        <v>3</v>
      </c>
      <c r="R2" s="74" t="s">
        <v>585</v>
      </c>
      <c r="S2" s="75" t="s">
        <v>586</v>
      </c>
      <c r="T2" s="60" t="s">
        <v>587</v>
      </c>
      <c r="U2" s="365" t="s">
        <v>586</v>
      </c>
    </row>
    <row r="3" spans="1:21" ht="30" customHeight="1" x14ac:dyDescent="0.2">
      <c r="A3" s="391" t="s">
        <v>682</v>
      </c>
      <c r="B3" s="392"/>
      <c r="C3" s="392"/>
      <c r="D3" s="392"/>
      <c r="E3" s="392"/>
      <c r="F3" s="392"/>
      <c r="G3" s="392"/>
      <c r="H3" s="393"/>
      <c r="I3" s="6"/>
      <c r="J3" s="9"/>
      <c r="K3" s="6"/>
      <c r="L3" s="9"/>
      <c r="M3" s="9"/>
      <c r="N3" s="10"/>
      <c r="O3" s="8"/>
      <c r="P3" s="10"/>
      <c r="Q3" s="73"/>
      <c r="R3" s="48"/>
      <c r="S3" s="48"/>
      <c r="T3" s="62"/>
      <c r="U3" s="63"/>
    </row>
    <row r="4" spans="1:21" ht="36.75" customHeight="1" x14ac:dyDescent="0.2">
      <c r="A4" s="18" t="s">
        <v>823</v>
      </c>
      <c r="B4" s="19"/>
      <c r="C4" s="19"/>
      <c r="D4" s="19"/>
      <c r="E4" s="19"/>
      <c r="F4" s="19"/>
      <c r="G4" s="19"/>
      <c r="H4" s="20"/>
      <c r="I4" s="17"/>
      <c r="J4" s="17"/>
      <c r="K4" s="17"/>
      <c r="L4" s="17"/>
      <c r="M4" s="17"/>
      <c r="N4" s="76"/>
      <c r="O4" s="17"/>
      <c r="P4" s="80"/>
      <c r="Q4" s="78"/>
      <c r="R4" s="53"/>
      <c r="S4" s="53"/>
      <c r="T4" s="79"/>
      <c r="U4" s="79"/>
    </row>
    <row r="5" spans="1:21" ht="240" x14ac:dyDescent="0.2">
      <c r="A5" s="11" t="s">
        <v>411</v>
      </c>
      <c r="B5" s="12" t="s">
        <v>100</v>
      </c>
      <c r="C5" s="12">
        <v>51310</v>
      </c>
      <c r="D5" s="12" t="s">
        <v>825</v>
      </c>
      <c r="E5" s="12" t="s">
        <v>102</v>
      </c>
      <c r="F5" s="13" t="s">
        <v>375</v>
      </c>
      <c r="G5" s="12" t="s">
        <v>103</v>
      </c>
      <c r="H5" s="12" t="s">
        <v>104</v>
      </c>
      <c r="I5" s="12" t="s">
        <v>8</v>
      </c>
      <c r="J5" s="12"/>
      <c r="K5" s="12" t="s">
        <v>29</v>
      </c>
      <c r="L5" s="13" t="s">
        <v>380</v>
      </c>
      <c r="M5" s="13" t="s">
        <v>381</v>
      </c>
      <c r="N5" s="14">
        <v>11000</v>
      </c>
      <c r="O5" s="13">
        <v>1</v>
      </c>
      <c r="P5" s="14">
        <v>11000</v>
      </c>
      <c r="Q5" s="45">
        <v>1491</v>
      </c>
      <c r="R5" s="49">
        <v>9600</v>
      </c>
      <c r="S5" s="70"/>
      <c r="T5" s="64">
        <f>R5</f>
        <v>9600</v>
      </c>
      <c r="U5" s="81" t="s">
        <v>824</v>
      </c>
    </row>
    <row r="6" spans="1:21" ht="195" x14ac:dyDescent="0.2">
      <c r="A6" s="11" t="s">
        <v>461</v>
      </c>
      <c r="B6" s="12" t="s">
        <v>100</v>
      </c>
      <c r="C6" s="12">
        <v>54100</v>
      </c>
      <c r="D6" s="12" t="s">
        <v>825</v>
      </c>
      <c r="E6" s="12" t="s">
        <v>102</v>
      </c>
      <c r="F6" s="13" t="s">
        <v>375</v>
      </c>
      <c r="G6" s="12" t="s">
        <v>105</v>
      </c>
      <c r="H6" s="12" t="s">
        <v>106</v>
      </c>
      <c r="I6" s="12" t="s">
        <v>22</v>
      </c>
      <c r="J6" s="12">
        <v>2.1</v>
      </c>
      <c r="K6" s="12" t="s">
        <v>26</v>
      </c>
      <c r="L6" s="13" t="s">
        <v>381</v>
      </c>
      <c r="M6" s="13" t="s">
        <v>380</v>
      </c>
      <c r="N6" s="14">
        <v>20000</v>
      </c>
      <c r="O6" s="13">
        <v>1</v>
      </c>
      <c r="P6" s="14">
        <v>20000</v>
      </c>
      <c r="Q6" s="45">
        <v>1736</v>
      </c>
      <c r="R6" s="49">
        <v>5000</v>
      </c>
      <c r="S6" s="59"/>
      <c r="T6" s="64">
        <f t="shared" ref="T6:T9" si="0">R6</f>
        <v>5000</v>
      </c>
      <c r="U6" s="81" t="s">
        <v>824</v>
      </c>
    </row>
    <row r="7" spans="1:21" ht="137.25" customHeight="1" x14ac:dyDescent="0.2">
      <c r="A7" s="11" t="s">
        <v>420</v>
      </c>
      <c r="B7" s="12" t="s">
        <v>33</v>
      </c>
      <c r="C7" s="12">
        <v>51310</v>
      </c>
      <c r="D7" s="12" t="s">
        <v>825</v>
      </c>
      <c r="E7" s="12" t="s">
        <v>35</v>
      </c>
      <c r="F7" s="13" t="s">
        <v>375</v>
      </c>
      <c r="G7" s="12" t="s">
        <v>40</v>
      </c>
      <c r="H7" s="12" t="s">
        <v>626</v>
      </c>
      <c r="I7" s="12" t="s">
        <v>8</v>
      </c>
      <c r="J7" s="12">
        <v>2.1</v>
      </c>
      <c r="K7" s="12" t="s">
        <v>32</v>
      </c>
      <c r="L7" s="13" t="s">
        <v>381</v>
      </c>
      <c r="M7" s="13" t="s">
        <v>381</v>
      </c>
      <c r="N7" s="14">
        <v>16000</v>
      </c>
      <c r="O7" s="13">
        <v>1</v>
      </c>
      <c r="P7" s="14">
        <v>16000</v>
      </c>
      <c r="Q7" s="45">
        <v>1725</v>
      </c>
      <c r="R7" s="49">
        <v>16000</v>
      </c>
      <c r="S7" s="70"/>
      <c r="T7" s="64">
        <f t="shared" si="0"/>
        <v>16000</v>
      </c>
      <c r="U7" s="81" t="s">
        <v>824</v>
      </c>
    </row>
    <row r="8" spans="1:21" ht="225" x14ac:dyDescent="0.2">
      <c r="A8" s="11" t="s">
        <v>465</v>
      </c>
      <c r="B8" s="12" t="s">
        <v>33</v>
      </c>
      <c r="C8" s="12">
        <v>54100</v>
      </c>
      <c r="D8" s="12" t="s">
        <v>825</v>
      </c>
      <c r="E8" s="12" t="s">
        <v>35</v>
      </c>
      <c r="F8" s="13" t="s">
        <v>375</v>
      </c>
      <c r="G8" s="12" t="s">
        <v>46</v>
      </c>
      <c r="H8" s="12" t="s">
        <v>47</v>
      </c>
      <c r="I8" s="12" t="s">
        <v>22</v>
      </c>
      <c r="J8" s="12">
        <v>2.1</v>
      </c>
      <c r="K8" s="12" t="s">
        <v>26</v>
      </c>
      <c r="L8" s="13" t="s">
        <v>381</v>
      </c>
      <c r="M8" s="13" t="s">
        <v>381</v>
      </c>
      <c r="N8" s="14">
        <v>10000</v>
      </c>
      <c r="O8" s="13">
        <v>1</v>
      </c>
      <c r="P8" s="14">
        <v>10000</v>
      </c>
      <c r="Q8" s="45">
        <v>1727</v>
      </c>
      <c r="R8" s="49">
        <v>10000</v>
      </c>
      <c r="S8" s="59"/>
      <c r="T8" s="64">
        <f t="shared" si="0"/>
        <v>10000</v>
      </c>
      <c r="U8" s="81" t="s">
        <v>824</v>
      </c>
    </row>
    <row r="9" spans="1:21" ht="180" x14ac:dyDescent="0.2">
      <c r="A9" s="11" t="s">
        <v>398</v>
      </c>
      <c r="B9" s="12" t="s">
        <v>48</v>
      </c>
      <c r="C9" s="12">
        <v>51310</v>
      </c>
      <c r="D9" s="12" t="s">
        <v>825</v>
      </c>
      <c r="E9" s="12" t="s">
        <v>50</v>
      </c>
      <c r="F9" s="13" t="s">
        <v>375</v>
      </c>
      <c r="G9" s="12" t="s">
        <v>59</v>
      </c>
      <c r="H9" s="12" t="s">
        <v>60</v>
      </c>
      <c r="I9" s="12" t="s">
        <v>8</v>
      </c>
      <c r="J9" s="12"/>
      <c r="K9" s="12" t="s">
        <v>29</v>
      </c>
      <c r="L9" s="13" t="s">
        <v>381</v>
      </c>
      <c r="M9" s="13" t="s">
        <v>381</v>
      </c>
      <c r="N9" s="14">
        <v>10102</v>
      </c>
      <c r="O9" s="13">
        <v>1</v>
      </c>
      <c r="P9" s="14">
        <v>10102</v>
      </c>
      <c r="Q9" s="45">
        <v>1599</v>
      </c>
      <c r="R9" s="49">
        <v>0</v>
      </c>
      <c r="S9" s="70"/>
      <c r="T9" s="64">
        <f t="shared" si="0"/>
        <v>0</v>
      </c>
      <c r="U9" s="81" t="s">
        <v>824</v>
      </c>
    </row>
    <row r="10" spans="1:21" ht="36.75" customHeight="1" x14ac:dyDescent="0.2">
      <c r="A10" s="411" t="s">
        <v>629</v>
      </c>
      <c r="B10" s="412"/>
      <c r="C10" s="412"/>
      <c r="D10" s="412"/>
      <c r="E10" s="412"/>
      <c r="F10" s="412"/>
      <c r="G10" s="412"/>
      <c r="H10" s="413"/>
      <c r="I10" s="95"/>
      <c r="J10" s="95"/>
      <c r="K10" s="95"/>
      <c r="L10" s="96"/>
      <c r="M10" s="96"/>
      <c r="N10" s="97"/>
      <c r="O10" s="96"/>
      <c r="P10" s="98">
        <f>SUM(P5:P9)</f>
        <v>67102</v>
      </c>
      <c r="Q10" s="99"/>
      <c r="R10" s="100">
        <f>SUM(R5:R9)</f>
        <v>40600</v>
      </c>
      <c r="S10" s="100"/>
      <c r="T10" s="102">
        <f>SUM(T5:T9)</f>
        <v>40600</v>
      </c>
      <c r="U10" s="102"/>
    </row>
    <row r="13" spans="1:21" x14ac:dyDescent="0.2">
      <c r="A13" s="32" t="s">
        <v>683</v>
      </c>
    </row>
  </sheetData>
  <mergeCells count="5">
    <mergeCell ref="A10:H10"/>
    <mergeCell ref="A1:O1"/>
    <mergeCell ref="R1:S1"/>
    <mergeCell ref="T1:U1"/>
    <mergeCell ref="A3:H3"/>
  </mergeCells>
  <pageMargins left="0.45" right="0.45" top="0.5" bottom="0.5" header="0.3" footer="0.3"/>
  <pageSetup paperSize="5" scale="67" firstPageNumber="39" fitToHeight="0" orientation="landscape" useFirstPageNumber="1" r:id="rId1"/>
  <headerFooter>
    <oddFooter>&amp;RPage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pageSetUpPr fitToPage="1"/>
  </sheetPr>
  <dimension ref="A1:U19"/>
  <sheetViews>
    <sheetView zoomScale="70" zoomScaleNormal="70" zoomScalePageLayoutView="70" workbookViewId="0">
      <selection activeCell="E4" sqref="E4"/>
    </sheetView>
  </sheetViews>
  <sheetFormatPr baseColWidth="10" defaultColWidth="8.83203125" defaultRowHeight="15" x14ac:dyDescent="0.2"/>
  <cols>
    <col min="1" max="1" width="10" style="32" bestFit="1" customWidth="1"/>
    <col min="2" max="2" width="13" style="33" customWidth="1"/>
    <col min="3" max="3" width="7.6640625" style="33" hidden="1" customWidth="1"/>
    <col min="4" max="4" width="15" style="33" customWidth="1"/>
    <col min="5" max="5" width="14.6640625" style="33" customWidth="1"/>
    <col min="6" max="6" width="5.33203125" style="38" hidden="1" customWidth="1"/>
    <col min="7" max="7" width="15" style="33" customWidth="1"/>
    <col min="8" max="8" width="55.6640625" style="33" customWidth="1"/>
    <col min="9" max="9" width="13.33203125" style="33" customWidth="1"/>
    <col min="10" max="10" width="6.5" style="33" hidden="1" customWidth="1"/>
    <col min="11" max="11" width="11" style="33" hidden="1" customWidth="1"/>
    <col min="12" max="12" width="6.33203125" style="38" hidden="1" customWidth="1"/>
    <col min="13" max="13" width="5.83203125" style="38" hidden="1" customWidth="1"/>
    <col min="14" max="14" width="11.5" style="33" customWidth="1"/>
    <col min="15" max="15" width="6.6640625" style="38" hidden="1" customWidth="1"/>
    <col min="16" max="16" width="16" style="33" bestFit="1" customWidth="1"/>
    <col min="17" max="17" width="5.5" style="33" hidden="1" customWidth="1"/>
    <col min="18" max="18" width="15.6640625" style="32" bestFit="1" customWidth="1"/>
    <col min="19" max="19" width="22" style="32" customWidth="1"/>
    <col min="20" max="20" width="16.1640625" style="32" customWidth="1"/>
    <col min="21" max="21" width="17.6640625" style="32" customWidth="1"/>
    <col min="22" max="16384" width="8.83203125" style="32"/>
  </cols>
  <sheetData>
    <row r="1" spans="1:21" ht="25" thickBot="1" x14ac:dyDescent="0.25">
      <c r="A1" s="386" t="s">
        <v>575</v>
      </c>
      <c r="B1" s="386"/>
      <c r="C1" s="386"/>
      <c r="D1" s="386"/>
      <c r="E1" s="386"/>
      <c r="F1" s="386"/>
      <c r="G1" s="386"/>
      <c r="H1" s="386"/>
      <c r="I1" s="386"/>
      <c r="J1" s="386"/>
      <c r="K1" s="386"/>
      <c r="L1" s="386"/>
      <c r="M1" s="386"/>
      <c r="N1" s="386"/>
      <c r="O1" s="386"/>
      <c r="P1" s="16"/>
      <c r="Q1" s="16"/>
      <c r="R1" s="387" t="s">
        <v>583</v>
      </c>
      <c r="S1" s="388"/>
      <c r="T1" s="389" t="s">
        <v>584</v>
      </c>
      <c r="U1" s="390"/>
    </row>
    <row r="2" spans="1:21" ht="75.75" customHeight="1" thickBot="1" x14ac:dyDescent="0.25">
      <c r="A2" s="5" t="s">
        <v>382</v>
      </c>
      <c r="B2" s="6" t="s">
        <v>383</v>
      </c>
      <c r="C2" s="7" t="s">
        <v>0</v>
      </c>
      <c r="D2" s="367" t="s">
        <v>384</v>
      </c>
      <c r="E2" s="6" t="s">
        <v>385</v>
      </c>
      <c r="F2" s="8" t="s">
        <v>374</v>
      </c>
      <c r="G2" s="5" t="s">
        <v>386</v>
      </c>
      <c r="H2" s="6" t="s">
        <v>1</v>
      </c>
      <c r="I2" s="6" t="s">
        <v>387</v>
      </c>
      <c r="J2" s="9" t="s">
        <v>388</v>
      </c>
      <c r="K2" s="6" t="s">
        <v>389</v>
      </c>
      <c r="L2" s="9" t="s">
        <v>390</v>
      </c>
      <c r="M2" s="9" t="s">
        <v>391</v>
      </c>
      <c r="N2" s="10" t="s">
        <v>392</v>
      </c>
      <c r="O2" s="8" t="s">
        <v>2</v>
      </c>
      <c r="P2" s="10" t="s">
        <v>393</v>
      </c>
      <c r="Q2" s="73" t="s">
        <v>3</v>
      </c>
      <c r="R2" s="74" t="s">
        <v>585</v>
      </c>
      <c r="S2" s="75" t="s">
        <v>586</v>
      </c>
      <c r="T2" s="60" t="s">
        <v>587</v>
      </c>
      <c r="U2" s="61" t="s">
        <v>586</v>
      </c>
    </row>
    <row r="3" spans="1:21" ht="30" customHeight="1" x14ac:dyDescent="0.2">
      <c r="A3" s="391" t="s">
        <v>680</v>
      </c>
      <c r="B3" s="392"/>
      <c r="C3" s="392"/>
      <c r="D3" s="392"/>
      <c r="E3" s="392"/>
      <c r="F3" s="392"/>
      <c r="G3" s="392"/>
      <c r="H3" s="393"/>
      <c r="I3" s="6"/>
      <c r="J3" s="9"/>
      <c r="K3" s="6"/>
      <c r="L3" s="9"/>
      <c r="M3" s="9"/>
      <c r="N3" s="10"/>
      <c r="O3" s="8"/>
      <c r="P3" s="10"/>
      <c r="Q3" s="73"/>
      <c r="R3" s="48"/>
      <c r="S3" s="48"/>
      <c r="T3" s="62"/>
      <c r="U3" s="63"/>
    </row>
    <row r="4" spans="1:21" ht="42.75" customHeight="1" x14ac:dyDescent="0.2">
      <c r="A4" s="30" t="s">
        <v>648</v>
      </c>
      <c r="B4" s="22"/>
      <c r="C4" s="22"/>
      <c r="D4" s="22"/>
      <c r="E4" s="22"/>
      <c r="F4" s="22"/>
      <c r="G4" s="22"/>
      <c r="H4" s="22"/>
      <c r="I4" s="22"/>
      <c r="J4" s="22"/>
      <c r="K4" s="22"/>
      <c r="L4" s="22"/>
      <c r="M4" s="22"/>
      <c r="N4" s="22"/>
      <c r="O4" s="22"/>
      <c r="P4" s="21"/>
      <c r="Q4" s="66"/>
      <c r="R4" s="53"/>
      <c r="S4" s="50"/>
      <c r="T4" s="64"/>
      <c r="U4" s="64"/>
    </row>
    <row r="5" spans="1:21" ht="135" x14ac:dyDescent="0.2">
      <c r="A5" s="11" t="s">
        <v>395</v>
      </c>
      <c r="B5" s="12" t="s">
        <v>48</v>
      </c>
      <c r="C5" s="12">
        <v>51310</v>
      </c>
      <c r="D5" s="12" t="s">
        <v>828</v>
      </c>
      <c r="E5" s="12" t="s">
        <v>50</v>
      </c>
      <c r="F5" s="13" t="s">
        <v>375</v>
      </c>
      <c r="G5" s="12" t="s">
        <v>51</v>
      </c>
      <c r="H5" s="12" t="s">
        <v>52</v>
      </c>
      <c r="I5" s="12" t="s">
        <v>8</v>
      </c>
      <c r="J5" s="12" t="s">
        <v>53</v>
      </c>
      <c r="K5" s="12" t="s">
        <v>32</v>
      </c>
      <c r="L5" s="13" t="s">
        <v>380</v>
      </c>
      <c r="M5" s="13" t="s">
        <v>381</v>
      </c>
      <c r="N5" s="14">
        <v>17816</v>
      </c>
      <c r="O5" s="13">
        <v>1</v>
      </c>
      <c r="P5" s="14">
        <v>17816</v>
      </c>
      <c r="Q5" s="45">
        <v>1595</v>
      </c>
      <c r="R5" s="49">
        <v>17920</v>
      </c>
      <c r="S5" s="69" t="s">
        <v>681</v>
      </c>
      <c r="T5" s="64">
        <f>R5</f>
        <v>17920</v>
      </c>
      <c r="U5" s="64"/>
    </row>
    <row r="6" spans="1:21" ht="211.5" customHeight="1" x14ac:dyDescent="0.2">
      <c r="A6" s="11" t="s">
        <v>396</v>
      </c>
      <c r="B6" s="12" t="s">
        <v>48</v>
      </c>
      <c r="C6" s="12">
        <v>51310</v>
      </c>
      <c r="D6" s="12" t="s">
        <v>828</v>
      </c>
      <c r="E6" s="12" t="s">
        <v>50</v>
      </c>
      <c r="F6" s="13" t="s">
        <v>375</v>
      </c>
      <c r="G6" s="12" t="s">
        <v>54</v>
      </c>
      <c r="H6" s="12" t="s">
        <v>55</v>
      </c>
      <c r="I6" s="12" t="s">
        <v>8</v>
      </c>
      <c r="J6" s="12"/>
      <c r="K6" s="12" t="s">
        <v>56</v>
      </c>
      <c r="L6" s="13" t="s">
        <v>380</v>
      </c>
      <c r="M6" s="13" t="s">
        <v>381</v>
      </c>
      <c r="N6" s="14">
        <v>11028</v>
      </c>
      <c r="O6" s="13">
        <v>1</v>
      </c>
      <c r="P6" s="14">
        <v>11028</v>
      </c>
      <c r="Q6" s="45">
        <v>1596</v>
      </c>
      <c r="R6" s="49">
        <v>11040</v>
      </c>
      <c r="S6" s="69" t="s">
        <v>681</v>
      </c>
      <c r="T6" s="64">
        <f t="shared" ref="T6:T11" si="0">R6</f>
        <v>11040</v>
      </c>
      <c r="U6" s="64"/>
    </row>
    <row r="7" spans="1:21" ht="75" x14ac:dyDescent="0.2">
      <c r="A7" s="11" t="s">
        <v>611</v>
      </c>
      <c r="B7" s="12" t="s">
        <v>275</v>
      </c>
      <c r="C7" s="12">
        <v>55205</v>
      </c>
      <c r="D7" s="12" t="s">
        <v>828</v>
      </c>
      <c r="E7" s="12" t="s">
        <v>277</v>
      </c>
      <c r="F7" s="13" t="s">
        <v>375</v>
      </c>
      <c r="G7" s="12" t="s">
        <v>280</v>
      </c>
      <c r="H7" s="12" t="s">
        <v>602</v>
      </c>
      <c r="I7" s="12" t="s">
        <v>22</v>
      </c>
      <c r="J7" s="12"/>
      <c r="K7" s="12" t="s">
        <v>81</v>
      </c>
      <c r="L7" s="13" t="s">
        <v>380</v>
      </c>
      <c r="M7" s="13" t="s">
        <v>380</v>
      </c>
      <c r="N7" s="14">
        <v>35000</v>
      </c>
      <c r="O7" s="13">
        <v>1</v>
      </c>
      <c r="P7" s="14">
        <v>35000</v>
      </c>
      <c r="Q7" s="45">
        <v>1519</v>
      </c>
      <c r="R7" s="49">
        <v>5000</v>
      </c>
      <c r="S7" s="69" t="s">
        <v>612</v>
      </c>
      <c r="T7" s="64">
        <f t="shared" si="0"/>
        <v>5000</v>
      </c>
      <c r="U7" s="64"/>
    </row>
    <row r="8" spans="1:21" ht="195" x14ac:dyDescent="0.2">
      <c r="A8" s="11" t="s">
        <v>610</v>
      </c>
      <c r="B8" s="12" t="s">
        <v>100</v>
      </c>
      <c r="C8" s="12">
        <v>51310</v>
      </c>
      <c r="D8" s="12" t="s">
        <v>828</v>
      </c>
      <c r="E8" s="12" t="s">
        <v>108</v>
      </c>
      <c r="F8" s="13" t="s">
        <v>375</v>
      </c>
      <c r="G8" s="12" t="s">
        <v>540</v>
      </c>
      <c r="H8" s="12" t="s">
        <v>109</v>
      </c>
      <c r="I8" s="12" t="s">
        <v>8</v>
      </c>
      <c r="J8" s="12"/>
      <c r="K8" s="12" t="s">
        <v>26</v>
      </c>
      <c r="L8" s="13" t="s">
        <v>380</v>
      </c>
      <c r="M8" s="13" t="s">
        <v>381</v>
      </c>
      <c r="N8" s="14">
        <v>11000</v>
      </c>
      <c r="O8" s="13">
        <v>3</v>
      </c>
      <c r="P8" s="14">
        <v>33000</v>
      </c>
      <c r="Q8" s="45">
        <v>1498</v>
      </c>
      <c r="R8" s="49">
        <v>6000</v>
      </c>
      <c r="S8" s="69" t="s">
        <v>613</v>
      </c>
      <c r="T8" s="64">
        <f t="shared" si="0"/>
        <v>6000</v>
      </c>
      <c r="U8" s="64"/>
    </row>
    <row r="9" spans="1:21" ht="150" x14ac:dyDescent="0.2">
      <c r="A9" s="11" t="s">
        <v>410</v>
      </c>
      <c r="B9" s="12" t="s">
        <v>182</v>
      </c>
      <c r="C9" s="12">
        <v>51316</v>
      </c>
      <c r="D9" s="12" t="s">
        <v>828</v>
      </c>
      <c r="E9" s="12" t="s">
        <v>184</v>
      </c>
      <c r="F9" s="13" t="s">
        <v>375</v>
      </c>
      <c r="G9" s="12" t="s">
        <v>187</v>
      </c>
      <c r="H9" s="12" t="s">
        <v>188</v>
      </c>
      <c r="I9" s="12" t="s">
        <v>8</v>
      </c>
      <c r="J9" s="12" t="s">
        <v>189</v>
      </c>
      <c r="K9" s="12" t="s">
        <v>26</v>
      </c>
      <c r="L9" s="13" t="s">
        <v>380</v>
      </c>
      <c r="M9" s="13" t="s">
        <v>380</v>
      </c>
      <c r="N9" s="14">
        <v>1200</v>
      </c>
      <c r="O9" s="13">
        <v>1</v>
      </c>
      <c r="P9" s="14">
        <v>1200</v>
      </c>
      <c r="Q9" s="45">
        <v>1571</v>
      </c>
      <c r="R9" s="49">
        <v>1200</v>
      </c>
      <c r="S9" s="69" t="s">
        <v>605</v>
      </c>
      <c r="T9" s="64">
        <f t="shared" si="0"/>
        <v>1200</v>
      </c>
      <c r="U9" s="64"/>
    </row>
    <row r="10" spans="1:21" ht="187.5" customHeight="1" x14ac:dyDescent="0.2">
      <c r="A10" s="11" t="s">
        <v>426</v>
      </c>
      <c r="B10" s="12" t="s">
        <v>4</v>
      </c>
      <c r="C10" s="12">
        <v>51310</v>
      </c>
      <c r="D10" s="12" t="s">
        <v>828</v>
      </c>
      <c r="E10" s="12" t="s">
        <v>6</v>
      </c>
      <c r="F10" s="13" t="s">
        <v>375</v>
      </c>
      <c r="G10" s="12" t="s">
        <v>20</v>
      </c>
      <c r="H10" s="12" t="s">
        <v>20</v>
      </c>
      <c r="I10" s="12" t="s">
        <v>8</v>
      </c>
      <c r="J10" s="12"/>
      <c r="K10" s="12" t="s">
        <v>9</v>
      </c>
      <c r="L10" s="13" t="s">
        <v>380</v>
      </c>
      <c r="M10" s="13" t="s">
        <v>381</v>
      </c>
      <c r="N10" s="14">
        <v>51780</v>
      </c>
      <c r="O10" s="13">
        <v>1</v>
      </c>
      <c r="P10" s="27">
        <v>51780</v>
      </c>
      <c r="Q10" s="46">
        <v>1710</v>
      </c>
      <c r="R10" s="49">
        <v>12375</v>
      </c>
      <c r="S10" s="69" t="s">
        <v>605</v>
      </c>
      <c r="T10" s="64">
        <f t="shared" si="0"/>
        <v>12375</v>
      </c>
      <c r="U10" s="64"/>
    </row>
    <row r="11" spans="1:21" ht="345" x14ac:dyDescent="0.2">
      <c r="A11" s="11" t="s">
        <v>394</v>
      </c>
      <c r="B11" s="12" t="s">
        <v>251</v>
      </c>
      <c r="C11" s="12">
        <v>53210</v>
      </c>
      <c r="D11" s="12" t="s">
        <v>828</v>
      </c>
      <c r="E11" s="12" t="s">
        <v>252</v>
      </c>
      <c r="F11" s="13" t="s">
        <v>377</v>
      </c>
      <c r="G11" s="12" t="s">
        <v>253</v>
      </c>
      <c r="H11" s="12" t="s">
        <v>532</v>
      </c>
      <c r="I11" s="12" t="s">
        <v>254</v>
      </c>
      <c r="J11" s="12"/>
      <c r="K11" s="12" t="s">
        <v>81</v>
      </c>
      <c r="L11" s="13" t="s">
        <v>380</v>
      </c>
      <c r="M11" s="13" t="s">
        <v>380</v>
      </c>
      <c r="N11" s="14">
        <v>17000</v>
      </c>
      <c r="O11" s="13">
        <v>1</v>
      </c>
      <c r="P11" s="14">
        <v>17000</v>
      </c>
      <c r="Q11" s="12">
        <v>1687</v>
      </c>
      <c r="R11" s="49">
        <v>17000</v>
      </c>
      <c r="S11" s="69"/>
      <c r="T11" s="64">
        <f t="shared" si="0"/>
        <v>17000</v>
      </c>
      <c r="U11" s="64"/>
    </row>
    <row r="12" spans="1:21" ht="33" customHeight="1" x14ac:dyDescent="0.2">
      <c r="A12" s="411" t="s">
        <v>649</v>
      </c>
      <c r="B12" s="412"/>
      <c r="C12" s="412"/>
      <c r="D12" s="412"/>
      <c r="E12" s="412"/>
      <c r="F12" s="412"/>
      <c r="G12" s="412"/>
      <c r="H12" s="413"/>
      <c r="I12" s="112"/>
      <c r="J12" s="112"/>
      <c r="K12" s="112"/>
      <c r="L12" s="113"/>
      <c r="M12" s="113"/>
      <c r="N12" s="114"/>
      <c r="O12" s="113"/>
      <c r="P12" s="97">
        <f>SUM(P5:P11)</f>
        <v>166824</v>
      </c>
      <c r="Q12" s="115"/>
      <c r="R12" s="100">
        <f>SUM(R5:R11)</f>
        <v>70535</v>
      </c>
      <c r="S12" s="117"/>
      <c r="T12" s="102">
        <f>SUM(T5:T11)</f>
        <v>70535</v>
      </c>
      <c r="U12" s="102"/>
    </row>
    <row r="13" spans="1:21" ht="33" customHeight="1" x14ac:dyDescent="0.2">
      <c r="A13" s="18"/>
      <c r="B13" s="19"/>
      <c r="C13" s="19"/>
      <c r="D13" s="19"/>
      <c r="E13" s="19"/>
      <c r="F13" s="19"/>
      <c r="G13" s="19"/>
      <c r="H13" s="20"/>
      <c r="I13" s="12"/>
      <c r="J13" s="12"/>
      <c r="K13" s="12"/>
      <c r="L13" s="13"/>
      <c r="M13" s="13"/>
      <c r="N13" s="14"/>
      <c r="O13" s="13"/>
      <c r="P13" s="23"/>
      <c r="Q13" s="68"/>
      <c r="R13" s="53"/>
      <c r="S13" s="50"/>
      <c r="T13" s="79"/>
      <c r="U13" s="79"/>
    </row>
    <row r="14" spans="1:21" ht="33" customHeight="1" x14ac:dyDescent="0.2">
      <c r="A14" s="30" t="s">
        <v>608</v>
      </c>
      <c r="B14" s="19"/>
      <c r="C14" s="19"/>
      <c r="D14" s="19"/>
      <c r="E14" s="19"/>
      <c r="F14" s="19"/>
      <c r="G14" s="19"/>
      <c r="H14" s="20"/>
      <c r="I14" s="12"/>
      <c r="J14" s="12"/>
      <c r="K14" s="12"/>
      <c r="L14" s="13"/>
      <c r="M14" s="13"/>
      <c r="N14" s="14"/>
      <c r="O14" s="13"/>
      <c r="P14" s="23"/>
      <c r="Q14" s="68"/>
      <c r="R14" s="53"/>
      <c r="S14" s="57"/>
      <c r="T14" s="64"/>
      <c r="U14" s="64"/>
    </row>
    <row r="15" spans="1:21" ht="135" x14ac:dyDescent="0.2">
      <c r="A15" s="11" t="s">
        <v>463</v>
      </c>
      <c r="B15" s="12" t="s">
        <v>113</v>
      </c>
      <c r="C15" s="12">
        <v>53550</v>
      </c>
      <c r="D15" s="12" t="s">
        <v>828</v>
      </c>
      <c r="E15" s="12" t="s">
        <v>115</v>
      </c>
      <c r="F15" s="13" t="s">
        <v>375</v>
      </c>
      <c r="G15" s="12" t="s">
        <v>124</v>
      </c>
      <c r="H15" s="12" t="s">
        <v>125</v>
      </c>
      <c r="I15" s="12" t="s">
        <v>22</v>
      </c>
      <c r="J15" s="12"/>
      <c r="K15" s="12" t="s">
        <v>26</v>
      </c>
      <c r="L15" s="13" t="s">
        <v>381</v>
      </c>
      <c r="M15" s="13" t="s">
        <v>380</v>
      </c>
      <c r="N15" s="14">
        <v>500</v>
      </c>
      <c r="O15" s="13">
        <v>4</v>
      </c>
      <c r="P15" s="14">
        <v>2000</v>
      </c>
      <c r="Q15" s="45">
        <v>1523</v>
      </c>
      <c r="R15" s="49">
        <v>2000</v>
      </c>
      <c r="S15" s="69" t="s">
        <v>608</v>
      </c>
      <c r="T15" s="64">
        <f t="shared" ref="T15:T18" si="1">R15</f>
        <v>2000</v>
      </c>
      <c r="U15" s="64"/>
    </row>
    <row r="16" spans="1:21" ht="105" x14ac:dyDescent="0.2">
      <c r="A16" s="11" t="s">
        <v>462</v>
      </c>
      <c r="B16" s="12" t="s">
        <v>113</v>
      </c>
      <c r="C16" s="12">
        <v>56515</v>
      </c>
      <c r="D16" s="12" t="s">
        <v>828</v>
      </c>
      <c r="E16" s="12" t="s">
        <v>115</v>
      </c>
      <c r="F16" s="13" t="s">
        <v>375</v>
      </c>
      <c r="G16" s="12" t="s">
        <v>116</v>
      </c>
      <c r="H16" s="12" t="s">
        <v>117</v>
      </c>
      <c r="I16" s="12" t="s">
        <v>22</v>
      </c>
      <c r="J16" s="12" t="s">
        <v>118</v>
      </c>
      <c r="K16" s="12" t="s">
        <v>26</v>
      </c>
      <c r="L16" s="13" t="s">
        <v>381</v>
      </c>
      <c r="M16" s="13" t="s">
        <v>380</v>
      </c>
      <c r="N16" s="14">
        <v>750</v>
      </c>
      <c r="O16" s="13">
        <v>1</v>
      </c>
      <c r="P16" s="14">
        <v>750</v>
      </c>
      <c r="Q16" s="45">
        <v>1471</v>
      </c>
      <c r="R16" s="49">
        <v>750</v>
      </c>
      <c r="S16" s="69" t="s">
        <v>608</v>
      </c>
      <c r="T16" s="64">
        <f t="shared" si="1"/>
        <v>750</v>
      </c>
      <c r="U16" s="64"/>
    </row>
    <row r="17" spans="1:21" ht="76.5" customHeight="1" x14ac:dyDescent="0.2">
      <c r="A17" s="11" t="s">
        <v>609</v>
      </c>
      <c r="B17" s="12" t="s">
        <v>275</v>
      </c>
      <c r="C17" s="12">
        <v>51129</v>
      </c>
      <c r="D17" s="12" t="s">
        <v>828</v>
      </c>
      <c r="E17" s="12" t="s">
        <v>277</v>
      </c>
      <c r="F17" s="13" t="s">
        <v>375</v>
      </c>
      <c r="G17" s="12" t="s">
        <v>278</v>
      </c>
      <c r="H17" s="12" t="s">
        <v>279</v>
      </c>
      <c r="I17" s="12" t="s">
        <v>8</v>
      </c>
      <c r="J17" s="12"/>
      <c r="K17" s="12" t="s">
        <v>81</v>
      </c>
      <c r="L17" s="13" t="s">
        <v>381</v>
      </c>
      <c r="M17" s="13" t="s">
        <v>380</v>
      </c>
      <c r="N17" s="14">
        <v>5700</v>
      </c>
      <c r="O17" s="13">
        <v>1</v>
      </c>
      <c r="P17" s="14">
        <v>5700</v>
      </c>
      <c r="Q17" s="45">
        <v>1518</v>
      </c>
      <c r="R17" s="49">
        <v>3000</v>
      </c>
      <c r="S17" s="69" t="s">
        <v>614</v>
      </c>
      <c r="T17" s="64">
        <f t="shared" si="1"/>
        <v>3000</v>
      </c>
      <c r="U17" s="64"/>
    </row>
    <row r="18" spans="1:21" ht="180" x14ac:dyDescent="0.2">
      <c r="A18" s="11" t="s">
        <v>616</v>
      </c>
      <c r="B18" s="12" t="s">
        <v>312</v>
      </c>
      <c r="C18" s="12">
        <v>51310</v>
      </c>
      <c r="D18" s="12" t="s">
        <v>828</v>
      </c>
      <c r="E18" s="12" t="s">
        <v>314</v>
      </c>
      <c r="F18" s="13" t="s">
        <v>375</v>
      </c>
      <c r="G18" s="12" t="s">
        <v>315</v>
      </c>
      <c r="H18" s="12" t="s">
        <v>533</v>
      </c>
      <c r="I18" s="12" t="s">
        <v>8</v>
      </c>
      <c r="J18" s="12"/>
      <c r="K18" s="12" t="s">
        <v>26</v>
      </c>
      <c r="L18" s="13" t="s">
        <v>380</v>
      </c>
      <c r="M18" s="13" t="s">
        <v>380</v>
      </c>
      <c r="N18" s="14">
        <v>60000</v>
      </c>
      <c r="O18" s="13">
        <v>1</v>
      </c>
      <c r="P18" s="27">
        <v>60000</v>
      </c>
      <c r="Q18" s="46">
        <v>1654</v>
      </c>
      <c r="R18" s="49">
        <v>10000</v>
      </c>
      <c r="S18" s="69" t="s">
        <v>617</v>
      </c>
      <c r="T18" s="64">
        <f t="shared" si="1"/>
        <v>10000</v>
      </c>
      <c r="U18" s="64"/>
    </row>
    <row r="19" spans="1:21" ht="30" customHeight="1" x14ac:dyDescent="0.2">
      <c r="A19" s="108" t="s">
        <v>628</v>
      </c>
      <c r="B19" s="109"/>
      <c r="C19" s="109"/>
      <c r="D19" s="109"/>
      <c r="E19" s="109"/>
      <c r="F19" s="110"/>
      <c r="G19" s="109"/>
      <c r="H19" s="111"/>
      <c r="I19" s="112"/>
      <c r="J19" s="112"/>
      <c r="K19" s="112"/>
      <c r="L19" s="113"/>
      <c r="M19" s="113"/>
      <c r="N19" s="114"/>
      <c r="O19" s="113"/>
      <c r="P19" s="97">
        <f>SUM(P15:P18)</f>
        <v>68450</v>
      </c>
      <c r="Q19" s="115"/>
      <c r="R19" s="100">
        <f>SUM(R15:R18)</f>
        <v>15750</v>
      </c>
      <c r="S19" s="116"/>
      <c r="T19" s="102">
        <f>SUM(T15:T18)</f>
        <v>15750</v>
      </c>
      <c r="U19" s="102"/>
    </row>
  </sheetData>
  <mergeCells count="5">
    <mergeCell ref="A12:H12"/>
    <mergeCell ref="A1:O1"/>
    <mergeCell ref="R1:S1"/>
    <mergeCell ref="T1:U1"/>
    <mergeCell ref="A3:H3"/>
  </mergeCells>
  <pageMargins left="0.45" right="0.45" top="0.5" bottom="0.5" header="0.3" footer="0.3"/>
  <pageSetup paperSize="5" scale="67" firstPageNumber="41" fitToHeight="0" orientation="landscape" useFirstPageNumber="1" r:id="rId1"/>
  <headerFooter>
    <oddFooter>&amp;RPage &amp;P</oddFooter>
  </headerFooter>
  <rowBreaks count="1" manualBreakCount="1">
    <brk id="13"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pageSetUpPr fitToPage="1"/>
  </sheetPr>
  <dimension ref="A1:U193"/>
  <sheetViews>
    <sheetView zoomScale="70" zoomScaleNormal="70" zoomScalePageLayoutView="70" workbookViewId="0">
      <pane ySplit="3" topLeftCell="A179" activePane="bottomLeft" state="frozen"/>
      <selection activeCell="P112" sqref="P112:Q112"/>
      <selection pane="bottomLeft" activeCell="A186" sqref="A186:XFD193"/>
    </sheetView>
  </sheetViews>
  <sheetFormatPr baseColWidth="10" defaultColWidth="8.83203125" defaultRowHeight="15" x14ac:dyDescent="0.2"/>
  <cols>
    <col min="1" max="1" width="10" bestFit="1" customWidth="1"/>
    <col min="2" max="2" width="13" style="1" customWidth="1"/>
    <col min="3" max="3" width="7.6640625" style="1" hidden="1" customWidth="1"/>
    <col min="4" max="4" width="11.5" style="1" hidden="1" customWidth="1"/>
    <col min="5" max="5" width="14.6640625" style="1" customWidth="1"/>
    <col min="6" max="6" width="5.33203125" style="3" customWidth="1"/>
    <col min="7" max="7" width="15" style="1" customWidth="1"/>
    <col min="8" max="8" width="55.6640625" style="1" customWidth="1"/>
    <col min="9" max="9" width="13.33203125" style="1" customWidth="1"/>
    <col min="10" max="10" width="6.5" style="1" customWidth="1"/>
    <col min="11" max="11" width="11" style="1" customWidth="1"/>
    <col min="12" max="12" width="6.33203125" style="3" customWidth="1"/>
    <col min="13" max="13" width="5.83203125" style="3" customWidth="1"/>
    <col min="14" max="14" width="11.5" style="1" customWidth="1"/>
    <col min="15" max="15" width="6.6640625" style="3" hidden="1" customWidth="1"/>
    <col min="16" max="16" width="16" style="1" bestFit="1" customWidth="1"/>
    <col min="17" max="17" width="5.5" style="1" hidden="1" customWidth="1"/>
    <col min="18" max="18" width="15.6640625" bestFit="1" customWidth="1"/>
    <col min="19" max="19" width="22" customWidth="1"/>
    <col min="20" max="20" width="16.1640625" customWidth="1"/>
    <col min="21" max="21" width="17.6640625" customWidth="1"/>
  </cols>
  <sheetData>
    <row r="1" spans="1:21" s="32" customFormat="1" ht="26.25" customHeight="1" thickBot="1" x14ac:dyDescent="0.3">
      <c r="A1" s="417" t="s">
        <v>684</v>
      </c>
      <c r="B1" s="417"/>
      <c r="C1" s="417"/>
      <c r="D1" s="417"/>
      <c r="E1" s="417"/>
      <c r="F1" s="417"/>
      <c r="G1" s="417"/>
      <c r="H1" s="417"/>
      <c r="I1" s="417"/>
      <c r="J1" s="417"/>
      <c r="K1" s="417"/>
      <c r="L1" s="417"/>
      <c r="M1" s="417"/>
      <c r="N1" s="417"/>
      <c r="O1" s="417"/>
      <c r="P1" s="417"/>
      <c r="Q1" s="137"/>
      <c r="R1" s="137"/>
      <c r="S1" s="137"/>
      <c r="T1" s="137"/>
      <c r="U1" s="137"/>
    </row>
    <row r="2" spans="1:21" s="2" customFormat="1" ht="24" customHeight="1" thickBot="1" x14ac:dyDescent="0.25">
      <c r="A2" s="414" t="s">
        <v>575</v>
      </c>
      <c r="B2" s="415"/>
      <c r="C2" s="415"/>
      <c r="D2" s="415"/>
      <c r="E2" s="415"/>
      <c r="F2" s="415"/>
      <c r="G2" s="415"/>
      <c r="H2" s="415"/>
      <c r="I2" s="415"/>
      <c r="J2" s="415"/>
      <c r="K2" s="415"/>
      <c r="L2" s="415"/>
      <c r="M2" s="415"/>
      <c r="N2" s="415"/>
      <c r="O2" s="415"/>
      <c r="P2" s="416"/>
      <c r="Q2" s="16"/>
      <c r="R2" s="387" t="s">
        <v>583</v>
      </c>
      <c r="S2" s="388"/>
      <c r="T2" s="389" t="s">
        <v>584</v>
      </c>
      <c r="U2" s="390"/>
    </row>
    <row r="3" spans="1:21" ht="75.75" customHeight="1" thickBot="1" x14ac:dyDescent="0.25">
      <c r="A3" s="5" t="s">
        <v>382</v>
      </c>
      <c r="B3" s="6" t="s">
        <v>383</v>
      </c>
      <c r="C3" s="7" t="s">
        <v>0</v>
      </c>
      <c r="D3" s="6" t="s">
        <v>384</v>
      </c>
      <c r="E3" s="6" t="s">
        <v>385</v>
      </c>
      <c r="F3" s="8" t="s">
        <v>374</v>
      </c>
      <c r="G3" s="5" t="s">
        <v>386</v>
      </c>
      <c r="H3" s="6" t="s">
        <v>1</v>
      </c>
      <c r="I3" s="6" t="s">
        <v>387</v>
      </c>
      <c r="J3" s="9" t="s">
        <v>388</v>
      </c>
      <c r="K3" s="6" t="s">
        <v>389</v>
      </c>
      <c r="L3" s="9" t="s">
        <v>390</v>
      </c>
      <c r="M3" s="9" t="s">
        <v>391</v>
      </c>
      <c r="N3" s="10" t="s">
        <v>392</v>
      </c>
      <c r="O3" s="8" t="s">
        <v>2</v>
      </c>
      <c r="P3" s="10" t="s">
        <v>393</v>
      </c>
      <c r="Q3" s="73" t="s">
        <v>3</v>
      </c>
      <c r="R3" s="74" t="s">
        <v>585</v>
      </c>
      <c r="S3" s="75" t="s">
        <v>586</v>
      </c>
      <c r="T3" s="60" t="s">
        <v>587</v>
      </c>
      <c r="U3" s="61" t="s">
        <v>586</v>
      </c>
    </row>
    <row r="4" spans="1:21" s="32" customFormat="1" ht="30" customHeight="1" x14ac:dyDescent="0.2">
      <c r="A4" s="378" t="s">
        <v>674</v>
      </c>
      <c r="B4" s="379"/>
      <c r="C4" s="379"/>
      <c r="D4" s="379"/>
      <c r="E4" s="379"/>
      <c r="F4" s="379"/>
      <c r="G4" s="379"/>
      <c r="H4" s="379"/>
      <c r="I4" s="379"/>
      <c r="J4" s="379"/>
      <c r="K4" s="379"/>
      <c r="L4" s="379"/>
      <c r="M4" s="379"/>
      <c r="N4" s="379"/>
      <c r="O4" s="379"/>
      <c r="P4" s="379"/>
      <c r="Q4" s="379"/>
      <c r="R4" s="379"/>
      <c r="S4" s="379"/>
      <c r="T4" s="379"/>
      <c r="U4" s="379"/>
    </row>
    <row r="5" spans="1:21" s="32" customFormat="1" ht="30" customHeight="1" x14ac:dyDescent="0.2">
      <c r="A5" s="391" t="s">
        <v>579</v>
      </c>
      <c r="B5" s="392"/>
      <c r="C5" s="392"/>
      <c r="D5" s="392"/>
      <c r="E5" s="392"/>
      <c r="F5" s="392"/>
      <c r="G5" s="393"/>
      <c r="H5" s="6"/>
      <c r="I5" s="6"/>
      <c r="J5" s="9"/>
      <c r="K5" s="6"/>
      <c r="L5" s="9"/>
      <c r="M5" s="9"/>
      <c r="N5" s="10"/>
      <c r="O5" s="8"/>
      <c r="P5" s="10"/>
      <c r="Q5" s="8"/>
      <c r="R5" s="48"/>
      <c r="S5" s="48"/>
      <c r="T5" s="62"/>
      <c r="U5" s="63"/>
    </row>
    <row r="6" spans="1:21" ht="109.5" customHeight="1" x14ac:dyDescent="0.2">
      <c r="A6" s="11" t="s">
        <v>615</v>
      </c>
      <c r="B6" s="12" t="s">
        <v>312</v>
      </c>
      <c r="C6" s="12">
        <v>51310</v>
      </c>
      <c r="D6" s="12" t="s">
        <v>313</v>
      </c>
      <c r="E6" s="12" t="s">
        <v>314</v>
      </c>
      <c r="F6" s="13" t="s">
        <v>375</v>
      </c>
      <c r="G6" s="12" t="s">
        <v>315</v>
      </c>
      <c r="H6" s="12" t="s">
        <v>533</v>
      </c>
      <c r="I6" s="12" t="s">
        <v>8</v>
      </c>
      <c r="J6" s="12"/>
      <c r="K6" s="12" t="s">
        <v>26</v>
      </c>
      <c r="L6" s="13" t="s">
        <v>380</v>
      </c>
      <c r="M6" s="13" t="s">
        <v>380</v>
      </c>
      <c r="N6" s="14">
        <v>60000</v>
      </c>
      <c r="O6" s="13">
        <v>1</v>
      </c>
      <c r="P6" s="14">
        <v>60000</v>
      </c>
      <c r="Q6" s="45">
        <v>1654</v>
      </c>
      <c r="R6" s="49">
        <v>45000</v>
      </c>
      <c r="S6" s="69" t="s">
        <v>588</v>
      </c>
      <c r="T6" s="64">
        <f>R6</f>
        <v>45000</v>
      </c>
      <c r="U6" s="64"/>
    </row>
    <row r="7" spans="1:21" ht="180" x14ac:dyDescent="0.2">
      <c r="A7" s="11" t="s">
        <v>397</v>
      </c>
      <c r="B7" s="12" t="s">
        <v>48</v>
      </c>
      <c r="C7" s="12">
        <v>51310</v>
      </c>
      <c r="D7" s="12" t="s">
        <v>49</v>
      </c>
      <c r="E7" s="12" t="s">
        <v>50</v>
      </c>
      <c r="F7" s="13" t="s">
        <v>375</v>
      </c>
      <c r="G7" s="12" t="s">
        <v>57</v>
      </c>
      <c r="H7" s="12" t="s">
        <v>58</v>
      </c>
      <c r="I7" s="12" t="s">
        <v>8</v>
      </c>
      <c r="J7" s="12"/>
      <c r="K7" s="12" t="s">
        <v>26</v>
      </c>
      <c r="L7" s="13" t="s">
        <v>380</v>
      </c>
      <c r="M7" s="13" t="s">
        <v>381</v>
      </c>
      <c r="N7" s="14">
        <v>170000</v>
      </c>
      <c r="O7" s="13">
        <v>1</v>
      </c>
      <c r="P7" s="14">
        <v>170000</v>
      </c>
      <c r="Q7" s="45">
        <v>1598</v>
      </c>
      <c r="R7" s="49">
        <v>170000</v>
      </c>
      <c r="S7" s="70"/>
      <c r="T7" s="64">
        <f t="shared" ref="T7:T41" si="0">R7</f>
        <v>170000</v>
      </c>
      <c r="U7" s="64"/>
    </row>
    <row r="8" spans="1:21" ht="272.25" customHeight="1" x14ac:dyDescent="0.2">
      <c r="A8" s="11" t="s">
        <v>399</v>
      </c>
      <c r="B8" s="12" t="s">
        <v>211</v>
      </c>
      <c r="C8" s="12">
        <v>51310</v>
      </c>
      <c r="D8" s="12" t="s">
        <v>212</v>
      </c>
      <c r="E8" s="12" t="s">
        <v>213</v>
      </c>
      <c r="F8" s="13" t="s">
        <v>375</v>
      </c>
      <c r="G8" s="12" t="s">
        <v>214</v>
      </c>
      <c r="H8" s="12" t="s">
        <v>534</v>
      </c>
      <c r="I8" s="12" t="s">
        <v>8</v>
      </c>
      <c r="J8" s="12">
        <v>1.2</v>
      </c>
      <c r="K8" s="12" t="s">
        <v>26</v>
      </c>
      <c r="L8" s="13" t="s">
        <v>380</v>
      </c>
      <c r="M8" s="13" t="s">
        <v>380</v>
      </c>
      <c r="N8" s="14">
        <v>8250</v>
      </c>
      <c r="O8" s="13">
        <v>1</v>
      </c>
      <c r="P8" s="14">
        <v>8250</v>
      </c>
      <c r="Q8" s="45">
        <v>1413</v>
      </c>
      <c r="R8" s="49">
        <v>6000</v>
      </c>
      <c r="S8" s="70"/>
      <c r="T8" s="64">
        <f t="shared" si="0"/>
        <v>6000</v>
      </c>
      <c r="U8" s="64"/>
    </row>
    <row r="9" spans="1:21" ht="184.5" customHeight="1" x14ac:dyDescent="0.2">
      <c r="A9" s="11" t="s">
        <v>400</v>
      </c>
      <c r="B9" s="12" t="s">
        <v>211</v>
      </c>
      <c r="C9" s="12">
        <v>51310</v>
      </c>
      <c r="D9" s="12" t="s">
        <v>215</v>
      </c>
      <c r="E9" s="12" t="s">
        <v>216</v>
      </c>
      <c r="F9" s="13" t="s">
        <v>375</v>
      </c>
      <c r="G9" s="12" t="s">
        <v>217</v>
      </c>
      <c r="H9" s="12" t="s">
        <v>535</v>
      </c>
      <c r="I9" s="12" t="s">
        <v>8</v>
      </c>
      <c r="J9" s="12">
        <v>1.2</v>
      </c>
      <c r="K9" s="12" t="s">
        <v>26</v>
      </c>
      <c r="L9" s="13" t="s">
        <v>380</v>
      </c>
      <c r="M9" s="13" t="s">
        <v>380</v>
      </c>
      <c r="N9" s="14">
        <v>5600</v>
      </c>
      <c r="O9" s="13">
        <v>1</v>
      </c>
      <c r="P9" s="14">
        <v>5600</v>
      </c>
      <c r="Q9" s="45">
        <v>1423</v>
      </c>
      <c r="R9" s="49">
        <v>5000</v>
      </c>
      <c r="S9" s="70"/>
      <c r="T9" s="64">
        <f t="shared" si="0"/>
        <v>5000</v>
      </c>
      <c r="U9" s="64"/>
    </row>
    <row r="10" spans="1:21" ht="180" x14ac:dyDescent="0.2">
      <c r="A10" s="11" t="s">
        <v>404</v>
      </c>
      <c r="B10" s="12" t="s">
        <v>211</v>
      </c>
      <c r="C10" s="12">
        <v>51130</v>
      </c>
      <c r="D10" s="12" t="s">
        <v>218</v>
      </c>
      <c r="E10" s="12" t="s">
        <v>219</v>
      </c>
      <c r="F10" s="13" t="s">
        <v>375</v>
      </c>
      <c r="G10" s="12" t="s">
        <v>224</v>
      </c>
      <c r="H10" s="12" t="s">
        <v>223</v>
      </c>
      <c r="I10" s="12" t="s">
        <v>8</v>
      </c>
      <c r="J10" s="12">
        <v>1.2</v>
      </c>
      <c r="K10" s="12" t="s">
        <v>29</v>
      </c>
      <c r="L10" s="13" t="s">
        <v>380</v>
      </c>
      <c r="M10" s="13" t="s">
        <v>380</v>
      </c>
      <c r="N10" s="14">
        <v>16484</v>
      </c>
      <c r="O10" s="13">
        <v>1</v>
      </c>
      <c r="P10" s="14">
        <v>16484</v>
      </c>
      <c r="Q10" s="45">
        <v>1456</v>
      </c>
      <c r="R10" s="49">
        <v>0</v>
      </c>
      <c r="S10" s="71" t="s">
        <v>589</v>
      </c>
      <c r="T10" s="64">
        <f t="shared" si="0"/>
        <v>0</v>
      </c>
      <c r="U10" s="64"/>
    </row>
    <row r="11" spans="1:21" ht="105" x14ac:dyDescent="0.2">
      <c r="A11" s="11" t="s">
        <v>460</v>
      </c>
      <c r="B11" s="12" t="s">
        <v>211</v>
      </c>
      <c r="C11" s="12">
        <v>54110</v>
      </c>
      <c r="D11" s="12" t="s">
        <v>225</v>
      </c>
      <c r="E11" s="12" t="s">
        <v>226</v>
      </c>
      <c r="F11" s="13" t="s">
        <v>375</v>
      </c>
      <c r="G11" s="12" t="s">
        <v>230</v>
      </c>
      <c r="H11" s="12" t="s">
        <v>231</v>
      </c>
      <c r="I11" s="12" t="s">
        <v>22</v>
      </c>
      <c r="J11" s="12" t="s">
        <v>228</v>
      </c>
      <c r="K11" s="12" t="s">
        <v>29</v>
      </c>
      <c r="L11" s="13" t="s">
        <v>380</v>
      </c>
      <c r="M11" s="13" t="s">
        <v>380</v>
      </c>
      <c r="N11" s="14">
        <v>2000</v>
      </c>
      <c r="O11" s="13">
        <v>1</v>
      </c>
      <c r="P11" s="14">
        <v>2000</v>
      </c>
      <c r="Q11" s="45">
        <v>1460</v>
      </c>
      <c r="R11" s="49">
        <v>2000</v>
      </c>
      <c r="S11" s="70"/>
      <c r="T11" s="64">
        <f t="shared" si="0"/>
        <v>2000</v>
      </c>
      <c r="U11" s="64"/>
    </row>
    <row r="12" spans="1:21" ht="211.5" customHeight="1" x14ac:dyDescent="0.2">
      <c r="A12" s="11" t="s">
        <v>405</v>
      </c>
      <c r="B12" s="12" t="s">
        <v>211</v>
      </c>
      <c r="C12" s="12">
        <v>51310</v>
      </c>
      <c r="D12" s="12" t="s">
        <v>225</v>
      </c>
      <c r="E12" s="12" t="s">
        <v>226</v>
      </c>
      <c r="F12" s="13" t="s">
        <v>375</v>
      </c>
      <c r="G12" s="12" t="s">
        <v>229</v>
      </c>
      <c r="H12" s="12" t="s">
        <v>624</v>
      </c>
      <c r="I12" s="12" t="s">
        <v>8</v>
      </c>
      <c r="J12" s="12" t="s">
        <v>228</v>
      </c>
      <c r="K12" s="12" t="s">
        <v>26</v>
      </c>
      <c r="L12" s="13" t="s">
        <v>380</v>
      </c>
      <c r="M12" s="13" t="s">
        <v>381</v>
      </c>
      <c r="N12" s="14">
        <v>750</v>
      </c>
      <c r="O12" s="13">
        <v>1</v>
      </c>
      <c r="P12" s="14">
        <v>750</v>
      </c>
      <c r="Q12" s="45">
        <v>1460</v>
      </c>
      <c r="R12" s="49">
        <v>0</v>
      </c>
      <c r="S12" s="70"/>
      <c r="T12" s="64">
        <f t="shared" si="0"/>
        <v>0</v>
      </c>
      <c r="U12" s="64"/>
    </row>
    <row r="13" spans="1:21" ht="60" x14ac:dyDescent="0.2">
      <c r="A13" s="11" t="s">
        <v>407</v>
      </c>
      <c r="B13" s="12" t="s">
        <v>269</v>
      </c>
      <c r="C13" s="12">
        <v>51310</v>
      </c>
      <c r="D13" s="12" t="s">
        <v>270</v>
      </c>
      <c r="E13" s="12" t="s">
        <v>271</v>
      </c>
      <c r="F13" s="13" t="s">
        <v>375</v>
      </c>
      <c r="G13" s="12" t="s">
        <v>272</v>
      </c>
      <c r="H13" s="12" t="s">
        <v>273</v>
      </c>
      <c r="I13" s="12" t="s">
        <v>8</v>
      </c>
      <c r="J13" s="12"/>
      <c r="K13" s="12" t="s">
        <v>81</v>
      </c>
      <c r="L13" s="13" t="s">
        <v>381</v>
      </c>
      <c r="M13" s="13" t="s">
        <v>380</v>
      </c>
      <c r="N13" s="14">
        <v>7000</v>
      </c>
      <c r="O13" s="13">
        <v>1</v>
      </c>
      <c r="P13" s="14">
        <v>7000</v>
      </c>
      <c r="Q13" s="45">
        <v>1684</v>
      </c>
      <c r="R13" s="49">
        <v>7000</v>
      </c>
      <c r="S13" s="70"/>
      <c r="T13" s="64">
        <f t="shared" si="0"/>
        <v>7000</v>
      </c>
      <c r="U13" s="64"/>
    </row>
    <row r="14" spans="1:21" ht="165" x14ac:dyDescent="0.2">
      <c r="A14" s="11" t="s">
        <v>408</v>
      </c>
      <c r="B14" s="12" t="s">
        <v>269</v>
      </c>
      <c r="C14" s="12">
        <v>51310</v>
      </c>
      <c r="D14" s="12" t="s">
        <v>270</v>
      </c>
      <c r="E14" s="12" t="s">
        <v>271</v>
      </c>
      <c r="F14" s="13" t="s">
        <v>375</v>
      </c>
      <c r="G14" s="12" t="s">
        <v>274</v>
      </c>
      <c r="H14" s="12" t="s">
        <v>539</v>
      </c>
      <c r="I14" s="12" t="s">
        <v>8</v>
      </c>
      <c r="J14" s="12"/>
      <c r="K14" s="12" t="s">
        <v>81</v>
      </c>
      <c r="L14" s="13" t="s">
        <v>380</v>
      </c>
      <c r="M14" s="13" t="s">
        <v>380</v>
      </c>
      <c r="N14" s="14">
        <v>27000</v>
      </c>
      <c r="O14" s="13">
        <v>1</v>
      </c>
      <c r="P14" s="14">
        <v>27000</v>
      </c>
      <c r="Q14" s="45">
        <v>1686</v>
      </c>
      <c r="R14" s="49">
        <v>0</v>
      </c>
      <c r="S14" s="70"/>
      <c r="T14" s="64">
        <f t="shared" si="0"/>
        <v>0</v>
      </c>
      <c r="U14" s="64"/>
    </row>
    <row r="15" spans="1:21" s="31" customFormat="1" ht="120" x14ac:dyDescent="0.2">
      <c r="A15" s="11" t="s">
        <v>590</v>
      </c>
      <c r="B15" s="12" t="s">
        <v>269</v>
      </c>
      <c r="C15" s="12">
        <v>51310</v>
      </c>
      <c r="D15" s="12" t="s">
        <v>270</v>
      </c>
      <c r="E15" s="12" t="s">
        <v>271</v>
      </c>
      <c r="F15" s="13" t="s">
        <v>375</v>
      </c>
      <c r="G15" s="12" t="s">
        <v>591</v>
      </c>
      <c r="H15" s="12" t="s">
        <v>592</v>
      </c>
      <c r="I15" s="12" t="s">
        <v>8</v>
      </c>
      <c r="J15" s="12"/>
      <c r="K15" s="12" t="s">
        <v>26</v>
      </c>
      <c r="L15" s="13" t="s">
        <v>380</v>
      </c>
      <c r="M15" s="13" t="s">
        <v>380</v>
      </c>
      <c r="N15" s="14">
        <v>59000</v>
      </c>
      <c r="O15" s="13">
        <v>1</v>
      </c>
      <c r="P15" s="14">
        <v>59000</v>
      </c>
      <c r="Q15" s="45"/>
      <c r="R15" s="52">
        <v>59000</v>
      </c>
      <c r="S15" s="72"/>
      <c r="T15" s="65">
        <f t="shared" si="0"/>
        <v>59000</v>
      </c>
      <c r="U15" s="65"/>
    </row>
    <row r="16" spans="1:21" ht="60" x14ac:dyDescent="0.2">
      <c r="A16" s="11" t="s">
        <v>409</v>
      </c>
      <c r="B16" s="12" t="s">
        <v>182</v>
      </c>
      <c r="C16" s="12">
        <v>51310</v>
      </c>
      <c r="D16" s="12" t="s">
        <v>183</v>
      </c>
      <c r="E16" s="12" t="s">
        <v>184</v>
      </c>
      <c r="F16" s="13" t="s">
        <v>375</v>
      </c>
      <c r="G16" s="12" t="s">
        <v>185</v>
      </c>
      <c r="H16" s="12" t="s">
        <v>186</v>
      </c>
      <c r="I16" s="12" t="s">
        <v>8</v>
      </c>
      <c r="J16" s="12">
        <v>4.0999999999999996</v>
      </c>
      <c r="K16" s="12" t="s">
        <v>26</v>
      </c>
      <c r="L16" s="13" t="s">
        <v>380</v>
      </c>
      <c r="M16" s="13" t="s">
        <v>380</v>
      </c>
      <c r="N16" s="14">
        <v>6000</v>
      </c>
      <c r="O16" s="13">
        <v>1</v>
      </c>
      <c r="P16" s="14">
        <v>6000</v>
      </c>
      <c r="Q16" s="45">
        <v>1562</v>
      </c>
      <c r="R16" s="49">
        <v>6000</v>
      </c>
      <c r="S16" s="70"/>
      <c r="T16" s="64">
        <f t="shared" si="0"/>
        <v>6000</v>
      </c>
      <c r="U16" s="64"/>
    </row>
    <row r="17" spans="1:21" ht="195" x14ac:dyDescent="0.2">
      <c r="A17" s="11" t="s">
        <v>604</v>
      </c>
      <c r="B17" s="12" t="s">
        <v>100</v>
      </c>
      <c r="C17" s="12">
        <v>51310</v>
      </c>
      <c r="D17" s="12" t="s">
        <v>107</v>
      </c>
      <c r="E17" s="12" t="s">
        <v>108</v>
      </c>
      <c r="F17" s="13" t="s">
        <v>375</v>
      </c>
      <c r="G17" s="12" t="s">
        <v>540</v>
      </c>
      <c r="H17" s="12" t="s">
        <v>109</v>
      </c>
      <c r="I17" s="12" t="s">
        <v>8</v>
      </c>
      <c r="J17" s="12"/>
      <c r="K17" s="12" t="s">
        <v>26</v>
      </c>
      <c r="L17" s="13" t="s">
        <v>380</v>
      </c>
      <c r="M17" s="13" t="s">
        <v>381</v>
      </c>
      <c r="N17" s="14">
        <v>11000</v>
      </c>
      <c r="O17" s="13">
        <v>3</v>
      </c>
      <c r="P17" s="14">
        <v>33000</v>
      </c>
      <c r="Q17" s="45">
        <v>1498</v>
      </c>
      <c r="R17" s="49">
        <v>18000</v>
      </c>
      <c r="S17" s="70"/>
      <c r="T17" s="64">
        <f t="shared" si="0"/>
        <v>18000</v>
      </c>
      <c r="U17" s="64"/>
    </row>
    <row r="18" spans="1:21" ht="230.25" customHeight="1" x14ac:dyDescent="0.2">
      <c r="A18" s="11" t="s">
        <v>412</v>
      </c>
      <c r="B18" s="12" t="s">
        <v>100</v>
      </c>
      <c r="C18" s="12">
        <v>51310</v>
      </c>
      <c r="D18" s="12" t="s">
        <v>107</v>
      </c>
      <c r="E18" s="12" t="s">
        <v>108</v>
      </c>
      <c r="F18" s="13" t="s">
        <v>375</v>
      </c>
      <c r="G18" s="12" t="s">
        <v>110</v>
      </c>
      <c r="H18" s="12" t="s">
        <v>111</v>
      </c>
      <c r="I18" s="12" t="s">
        <v>8</v>
      </c>
      <c r="J18" s="12"/>
      <c r="K18" s="12" t="s">
        <v>29</v>
      </c>
      <c r="L18" s="13" t="s">
        <v>380</v>
      </c>
      <c r="M18" s="13" t="s">
        <v>381</v>
      </c>
      <c r="N18" s="14">
        <v>14500</v>
      </c>
      <c r="O18" s="13">
        <v>1</v>
      </c>
      <c r="P18" s="14">
        <v>14500</v>
      </c>
      <c r="Q18" s="45">
        <v>1497</v>
      </c>
      <c r="R18" s="49">
        <v>12000</v>
      </c>
      <c r="S18" s="69" t="s">
        <v>598</v>
      </c>
      <c r="T18" s="64">
        <f t="shared" si="0"/>
        <v>12000</v>
      </c>
      <c r="U18" s="64"/>
    </row>
    <row r="19" spans="1:21" ht="260.25" customHeight="1" x14ac:dyDescent="0.2">
      <c r="A19" s="11" t="s">
        <v>413</v>
      </c>
      <c r="B19" s="12" t="s">
        <v>100</v>
      </c>
      <c r="C19" s="12">
        <v>51310</v>
      </c>
      <c r="D19" s="12" t="s">
        <v>101</v>
      </c>
      <c r="E19" s="12" t="s">
        <v>102</v>
      </c>
      <c r="F19" s="13" t="s">
        <v>375</v>
      </c>
      <c r="G19" s="12" t="s">
        <v>541</v>
      </c>
      <c r="H19" s="12" t="s">
        <v>112</v>
      </c>
      <c r="I19" s="12" t="s">
        <v>8</v>
      </c>
      <c r="J19" s="12"/>
      <c r="K19" s="12" t="s">
        <v>26</v>
      </c>
      <c r="L19" s="13" t="s">
        <v>380</v>
      </c>
      <c r="M19" s="13" t="s">
        <v>381</v>
      </c>
      <c r="N19" s="14">
        <v>11000</v>
      </c>
      <c r="O19" s="13">
        <v>2</v>
      </c>
      <c r="P19" s="14">
        <v>22000</v>
      </c>
      <c r="Q19" s="45">
        <v>1498</v>
      </c>
      <c r="R19" s="49">
        <v>19000</v>
      </c>
      <c r="S19" s="70"/>
      <c r="T19" s="64">
        <f t="shared" si="0"/>
        <v>19000</v>
      </c>
      <c r="U19" s="64"/>
    </row>
    <row r="20" spans="1:21" ht="76.5" customHeight="1" x14ac:dyDescent="0.2">
      <c r="A20" s="11" t="s">
        <v>414</v>
      </c>
      <c r="B20" s="12" t="s">
        <v>275</v>
      </c>
      <c r="C20" s="12">
        <v>51129</v>
      </c>
      <c r="D20" s="12" t="s">
        <v>276</v>
      </c>
      <c r="E20" s="12" t="s">
        <v>277</v>
      </c>
      <c r="F20" s="13" t="s">
        <v>375</v>
      </c>
      <c r="G20" s="12" t="s">
        <v>278</v>
      </c>
      <c r="H20" s="12" t="s">
        <v>279</v>
      </c>
      <c r="I20" s="12" t="s">
        <v>8</v>
      </c>
      <c r="J20" s="12"/>
      <c r="K20" s="12" t="s">
        <v>81</v>
      </c>
      <c r="L20" s="13" t="s">
        <v>381</v>
      </c>
      <c r="M20" s="13" t="s">
        <v>380</v>
      </c>
      <c r="N20" s="14">
        <v>5700</v>
      </c>
      <c r="O20" s="13">
        <v>1</v>
      </c>
      <c r="P20" s="14">
        <v>5700</v>
      </c>
      <c r="Q20" s="45">
        <v>1518</v>
      </c>
      <c r="R20" s="49">
        <v>2657</v>
      </c>
      <c r="S20" s="69" t="s">
        <v>593</v>
      </c>
      <c r="T20" s="64">
        <f t="shared" si="0"/>
        <v>2657</v>
      </c>
      <c r="U20" s="64"/>
    </row>
    <row r="21" spans="1:21" ht="60" x14ac:dyDescent="0.2">
      <c r="A21" s="11" t="s">
        <v>603</v>
      </c>
      <c r="B21" s="12" t="s">
        <v>275</v>
      </c>
      <c r="C21" s="12">
        <v>55205</v>
      </c>
      <c r="D21" s="12" t="s">
        <v>276</v>
      </c>
      <c r="E21" s="12" t="s">
        <v>277</v>
      </c>
      <c r="F21" s="13" t="s">
        <v>375</v>
      </c>
      <c r="G21" s="12" t="s">
        <v>280</v>
      </c>
      <c r="H21" s="12" t="s">
        <v>281</v>
      </c>
      <c r="I21" s="12" t="s">
        <v>22</v>
      </c>
      <c r="J21" s="12"/>
      <c r="K21" s="12" t="s">
        <v>81</v>
      </c>
      <c r="L21" s="13" t="s">
        <v>380</v>
      </c>
      <c r="M21" s="13" t="s">
        <v>380</v>
      </c>
      <c r="N21" s="14">
        <v>35000</v>
      </c>
      <c r="O21" s="13">
        <v>1</v>
      </c>
      <c r="P21" s="14">
        <v>35000</v>
      </c>
      <c r="Q21" s="45">
        <v>1519</v>
      </c>
      <c r="R21" s="49">
        <v>25000</v>
      </c>
      <c r="S21" s="69" t="s">
        <v>594</v>
      </c>
      <c r="T21" s="64">
        <f t="shared" si="0"/>
        <v>25000</v>
      </c>
      <c r="U21" s="64"/>
    </row>
    <row r="22" spans="1:21" ht="77.25" customHeight="1" x14ac:dyDescent="0.2">
      <c r="A22" s="11" t="s">
        <v>415</v>
      </c>
      <c r="B22" s="12" t="s">
        <v>275</v>
      </c>
      <c r="C22" s="12">
        <v>51230</v>
      </c>
      <c r="D22" s="12" t="s">
        <v>276</v>
      </c>
      <c r="E22" s="12" t="s">
        <v>277</v>
      </c>
      <c r="F22" s="13" t="s">
        <v>375</v>
      </c>
      <c r="G22" s="12" t="s">
        <v>595</v>
      </c>
      <c r="H22" s="12" t="s">
        <v>596</v>
      </c>
      <c r="I22" s="12" t="s">
        <v>8</v>
      </c>
      <c r="J22" s="12"/>
      <c r="K22" s="12" t="s">
        <v>81</v>
      </c>
      <c r="L22" s="13" t="s">
        <v>380</v>
      </c>
      <c r="M22" s="13" t="s">
        <v>380</v>
      </c>
      <c r="N22" s="14">
        <v>14208</v>
      </c>
      <c r="O22" s="13">
        <v>1</v>
      </c>
      <c r="P22" s="14">
        <v>14208</v>
      </c>
      <c r="Q22" s="45">
        <v>1521</v>
      </c>
      <c r="R22" s="49">
        <v>13440</v>
      </c>
      <c r="S22" s="70"/>
      <c r="T22" s="64">
        <f t="shared" si="0"/>
        <v>13440</v>
      </c>
      <c r="U22" s="64"/>
    </row>
    <row r="23" spans="1:21" ht="120" x14ac:dyDescent="0.2">
      <c r="A23" s="11" t="s">
        <v>416</v>
      </c>
      <c r="B23" s="12" t="s">
        <v>113</v>
      </c>
      <c r="C23" s="12">
        <v>59835</v>
      </c>
      <c r="D23" s="12" t="s">
        <v>114</v>
      </c>
      <c r="E23" s="12" t="s">
        <v>115</v>
      </c>
      <c r="F23" s="13" t="s">
        <v>375</v>
      </c>
      <c r="G23" s="12" t="s">
        <v>119</v>
      </c>
      <c r="H23" s="12" t="s">
        <v>542</v>
      </c>
      <c r="I23" s="12" t="s">
        <v>8</v>
      </c>
      <c r="J23" s="12" t="s">
        <v>120</v>
      </c>
      <c r="K23" s="12" t="s">
        <v>81</v>
      </c>
      <c r="L23" s="13" t="s">
        <v>381</v>
      </c>
      <c r="M23" s="13" t="s">
        <v>380</v>
      </c>
      <c r="N23" s="14">
        <v>13200</v>
      </c>
      <c r="O23" s="13">
        <v>1</v>
      </c>
      <c r="P23" s="14">
        <v>13440</v>
      </c>
      <c r="Q23" s="45">
        <v>1473</v>
      </c>
      <c r="R23" s="49">
        <v>14388</v>
      </c>
      <c r="S23" s="70"/>
      <c r="T23" s="64">
        <f t="shared" si="0"/>
        <v>14388</v>
      </c>
      <c r="U23" s="64"/>
    </row>
    <row r="24" spans="1:21" ht="105" x14ac:dyDescent="0.2">
      <c r="A24" s="11" t="s">
        <v>417</v>
      </c>
      <c r="B24" s="12" t="s">
        <v>113</v>
      </c>
      <c r="C24" s="12">
        <v>51310</v>
      </c>
      <c r="D24" s="12" t="s">
        <v>114</v>
      </c>
      <c r="E24" s="12" t="s">
        <v>115</v>
      </c>
      <c r="F24" s="13" t="s">
        <v>375</v>
      </c>
      <c r="G24" s="12" t="s">
        <v>122</v>
      </c>
      <c r="H24" s="12" t="s">
        <v>123</v>
      </c>
      <c r="I24" s="12" t="s">
        <v>8</v>
      </c>
      <c r="J24" s="12" t="s">
        <v>120</v>
      </c>
      <c r="K24" s="12" t="s">
        <v>32</v>
      </c>
      <c r="L24" s="13" t="s">
        <v>380</v>
      </c>
      <c r="M24" s="13" t="s">
        <v>380</v>
      </c>
      <c r="N24" s="14">
        <v>20000</v>
      </c>
      <c r="O24" s="13">
        <v>1</v>
      </c>
      <c r="P24" s="14">
        <v>20000</v>
      </c>
      <c r="Q24" s="45">
        <v>1476</v>
      </c>
      <c r="R24" s="49">
        <v>17000</v>
      </c>
      <c r="S24" s="69" t="s">
        <v>597</v>
      </c>
      <c r="T24" s="64">
        <f t="shared" si="0"/>
        <v>17000</v>
      </c>
      <c r="U24" s="64"/>
    </row>
    <row r="25" spans="1:21" ht="285" x14ac:dyDescent="0.2">
      <c r="A25" s="11" t="s">
        <v>418</v>
      </c>
      <c r="B25" s="12" t="s">
        <v>33</v>
      </c>
      <c r="C25" s="12">
        <v>51310</v>
      </c>
      <c r="D25" s="12" t="s">
        <v>34</v>
      </c>
      <c r="E25" s="12" t="s">
        <v>35</v>
      </c>
      <c r="F25" s="13" t="s">
        <v>375</v>
      </c>
      <c r="G25" s="12" t="s">
        <v>36</v>
      </c>
      <c r="H25" s="12" t="s">
        <v>543</v>
      </c>
      <c r="I25" s="12" t="s">
        <v>8</v>
      </c>
      <c r="J25" s="12">
        <v>2.1</v>
      </c>
      <c r="K25" s="12" t="s">
        <v>26</v>
      </c>
      <c r="L25" s="13" t="s">
        <v>380</v>
      </c>
      <c r="M25" s="13" t="s">
        <v>380</v>
      </c>
      <c r="N25" s="14">
        <v>16000</v>
      </c>
      <c r="O25" s="13">
        <v>1</v>
      </c>
      <c r="P25" s="14">
        <v>16000</v>
      </c>
      <c r="Q25" s="45">
        <v>1725</v>
      </c>
      <c r="R25" s="49">
        <v>15000</v>
      </c>
      <c r="S25" s="70"/>
      <c r="T25" s="64">
        <f t="shared" si="0"/>
        <v>15000</v>
      </c>
      <c r="U25" s="64"/>
    </row>
    <row r="26" spans="1:21" ht="166.5" customHeight="1" x14ac:dyDescent="0.2">
      <c r="A26" s="11" t="s">
        <v>419</v>
      </c>
      <c r="B26" s="12" t="s">
        <v>33</v>
      </c>
      <c r="C26" s="12">
        <v>51230</v>
      </c>
      <c r="D26" s="12" t="s">
        <v>37</v>
      </c>
      <c r="E26" s="12" t="s">
        <v>38</v>
      </c>
      <c r="F26" s="13" t="s">
        <v>375</v>
      </c>
      <c r="G26" s="12" t="s">
        <v>39</v>
      </c>
      <c r="H26" s="12" t="s">
        <v>544</v>
      </c>
      <c r="I26" s="12" t="s">
        <v>8</v>
      </c>
      <c r="J26" s="12">
        <v>2.1</v>
      </c>
      <c r="K26" s="12" t="s">
        <v>26</v>
      </c>
      <c r="L26" s="13" t="s">
        <v>380</v>
      </c>
      <c r="M26" s="13" t="s">
        <v>380</v>
      </c>
      <c r="N26" s="14">
        <v>50483</v>
      </c>
      <c r="O26" s="13">
        <v>1</v>
      </c>
      <c r="P26" s="14">
        <v>50483</v>
      </c>
      <c r="Q26" s="45">
        <v>1725</v>
      </c>
      <c r="R26" s="49">
        <v>43725</v>
      </c>
      <c r="S26" s="70"/>
      <c r="T26" s="64">
        <f t="shared" si="0"/>
        <v>43725</v>
      </c>
      <c r="U26" s="64"/>
    </row>
    <row r="27" spans="1:21" ht="330" x14ac:dyDescent="0.2">
      <c r="A27" s="11" t="s">
        <v>464</v>
      </c>
      <c r="B27" s="12" t="s">
        <v>33</v>
      </c>
      <c r="C27" s="12">
        <v>54100</v>
      </c>
      <c r="D27" s="12" t="s">
        <v>34</v>
      </c>
      <c r="E27" s="12" t="s">
        <v>35</v>
      </c>
      <c r="F27" s="13" t="s">
        <v>375</v>
      </c>
      <c r="G27" s="12" t="s">
        <v>44</v>
      </c>
      <c r="H27" s="12" t="s">
        <v>45</v>
      </c>
      <c r="I27" s="12" t="s">
        <v>22</v>
      </c>
      <c r="J27" s="12">
        <v>2.1</v>
      </c>
      <c r="K27" s="12" t="s">
        <v>26</v>
      </c>
      <c r="L27" s="13" t="s">
        <v>380</v>
      </c>
      <c r="M27" s="13" t="s">
        <v>380</v>
      </c>
      <c r="N27" s="14">
        <v>22500</v>
      </c>
      <c r="O27" s="13">
        <v>1</v>
      </c>
      <c r="P27" s="14">
        <v>22500</v>
      </c>
      <c r="Q27" s="45">
        <v>1727</v>
      </c>
      <c r="R27" s="49">
        <v>22500</v>
      </c>
      <c r="S27" s="70"/>
      <c r="T27" s="64">
        <f t="shared" si="0"/>
        <v>22500</v>
      </c>
      <c r="U27" s="64"/>
    </row>
    <row r="28" spans="1:21" ht="166.5" customHeight="1" x14ac:dyDescent="0.2">
      <c r="A28" s="11" t="s">
        <v>421</v>
      </c>
      <c r="B28" s="12" t="s">
        <v>33</v>
      </c>
      <c r="C28" s="12">
        <v>51310</v>
      </c>
      <c r="D28" s="12" t="s">
        <v>41</v>
      </c>
      <c r="E28" s="12" t="s">
        <v>42</v>
      </c>
      <c r="F28" s="13" t="s">
        <v>375</v>
      </c>
      <c r="G28" s="12" t="s">
        <v>43</v>
      </c>
      <c r="H28" s="12" t="s">
        <v>625</v>
      </c>
      <c r="I28" s="12" t="s">
        <v>8</v>
      </c>
      <c r="J28" s="12">
        <v>2.1</v>
      </c>
      <c r="K28" s="12" t="s">
        <v>26</v>
      </c>
      <c r="L28" s="13" t="s">
        <v>381</v>
      </c>
      <c r="M28" s="13" t="s">
        <v>381</v>
      </c>
      <c r="N28" s="14">
        <v>16000</v>
      </c>
      <c r="O28" s="13">
        <v>1</v>
      </c>
      <c r="P28" s="14">
        <v>16000</v>
      </c>
      <c r="Q28" s="45">
        <v>1725</v>
      </c>
      <c r="R28" s="49">
        <v>15000</v>
      </c>
      <c r="S28" s="70"/>
      <c r="T28" s="64">
        <f t="shared" si="0"/>
        <v>15000</v>
      </c>
      <c r="U28" s="64"/>
    </row>
    <row r="29" spans="1:21" ht="30" x14ac:dyDescent="0.2">
      <c r="A29" s="11" t="s">
        <v>422</v>
      </c>
      <c r="B29" s="12" t="s">
        <v>4</v>
      </c>
      <c r="C29" s="12">
        <v>51220</v>
      </c>
      <c r="D29" s="12" t="s">
        <v>5</v>
      </c>
      <c r="E29" s="12" t="s">
        <v>6</v>
      </c>
      <c r="F29" s="13" t="s">
        <v>375</v>
      </c>
      <c r="G29" s="12" t="s">
        <v>7</v>
      </c>
      <c r="H29" s="12" t="s">
        <v>7</v>
      </c>
      <c r="I29" s="12" t="s">
        <v>8</v>
      </c>
      <c r="J29" s="12"/>
      <c r="K29" s="12" t="s">
        <v>9</v>
      </c>
      <c r="L29" s="13" t="s">
        <v>381</v>
      </c>
      <c r="M29" s="13" t="s">
        <v>380</v>
      </c>
      <c r="N29" s="14">
        <v>150000</v>
      </c>
      <c r="O29" s="13">
        <v>1</v>
      </c>
      <c r="P29" s="14">
        <v>150000</v>
      </c>
      <c r="Q29" s="45">
        <v>1703</v>
      </c>
      <c r="R29" s="49"/>
      <c r="S29" s="70"/>
      <c r="T29" s="64">
        <f t="shared" si="0"/>
        <v>0</v>
      </c>
      <c r="U29" s="64"/>
    </row>
    <row r="30" spans="1:21" ht="30" x14ac:dyDescent="0.2">
      <c r="A30" s="11" t="s">
        <v>423</v>
      </c>
      <c r="B30" s="12" t="s">
        <v>4</v>
      </c>
      <c r="C30" s="12">
        <v>51114</v>
      </c>
      <c r="D30" s="12" t="s">
        <v>5</v>
      </c>
      <c r="E30" s="12" t="s">
        <v>6</v>
      </c>
      <c r="F30" s="13" t="s">
        <v>375</v>
      </c>
      <c r="G30" s="12" t="s">
        <v>15</v>
      </c>
      <c r="H30" s="12" t="s">
        <v>16</v>
      </c>
      <c r="I30" s="12" t="s">
        <v>8</v>
      </c>
      <c r="J30" s="12"/>
      <c r="K30" s="12" t="s">
        <v>9</v>
      </c>
      <c r="L30" s="13" t="s">
        <v>380</v>
      </c>
      <c r="M30" s="13" t="s">
        <v>381</v>
      </c>
      <c r="N30" s="14">
        <v>25890</v>
      </c>
      <c r="O30" s="13">
        <v>1</v>
      </c>
      <c r="P30" s="14">
        <v>25890</v>
      </c>
      <c r="Q30" s="45">
        <v>1704</v>
      </c>
      <c r="R30" s="49">
        <v>15534</v>
      </c>
      <c r="S30" s="70"/>
      <c r="T30" s="64">
        <f t="shared" si="0"/>
        <v>15534</v>
      </c>
      <c r="U30" s="64"/>
    </row>
    <row r="31" spans="1:21" ht="45" x14ac:dyDescent="0.2">
      <c r="A31" s="11" t="s">
        <v>424</v>
      </c>
      <c r="B31" s="12" t="s">
        <v>4</v>
      </c>
      <c r="C31" s="12">
        <v>51310</v>
      </c>
      <c r="D31" s="12" t="s">
        <v>5</v>
      </c>
      <c r="E31" s="12" t="s">
        <v>6</v>
      </c>
      <c r="F31" s="13" t="s">
        <v>375</v>
      </c>
      <c r="G31" s="12" t="s">
        <v>17</v>
      </c>
      <c r="H31" s="12" t="s">
        <v>18</v>
      </c>
      <c r="I31" s="12" t="s">
        <v>8</v>
      </c>
      <c r="J31" s="12"/>
      <c r="K31" s="12" t="s">
        <v>9</v>
      </c>
      <c r="L31" s="13" t="s">
        <v>380</v>
      </c>
      <c r="M31" s="13" t="s">
        <v>381</v>
      </c>
      <c r="N31" s="14">
        <v>9625</v>
      </c>
      <c r="O31" s="13">
        <v>1</v>
      </c>
      <c r="P31" s="14">
        <v>9625</v>
      </c>
      <c r="Q31" s="45">
        <v>1704</v>
      </c>
      <c r="R31" s="49">
        <v>5500</v>
      </c>
      <c r="S31" s="70"/>
      <c r="T31" s="64">
        <f t="shared" si="0"/>
        <v>5500</v>
      </c>
      <c r="U31" s="64"/>
    </row>
    <row r="32" spans="1:21" ht="30" x14ac:dyDescent="0.2">
      <c r="A32" s="91" t="s">
        <v>425</v>
      </c>
      <c r="B32" s="12" t="s">
        <v>4</v>
      </c>
      <c r="C32" s="12">
        <v>51114</v>
      </c>
      <c r="D32" s="12" t="s">
        <v>5</v>
      </c>
      <c r="E32" s="12" t="s">
        <v>6</v>
      </c>
      <c r="F32" s="13" t="s">
        <v>375</v>
      </c>
      <c r="G32" s="12" t="s">
        <v>19</v>
      </c>
      <c r="H32" s="12" t="s">
        <v>19</v>
      </c>
      <c r="I32" s="12" t="s">
        <v>8</v>
      </c>
      <c r="J32" s="12"/>
      <c r="K32" s="12" t="s">
        <v>9</v>
      </c>
      <c r="L32" s="13" t="s">
        <v>380</v>
      </c>
      <c r="M32" s="13" t="s">
        <v>381</v>
      </c>
      <c r="N32" s="14">
        <v>10356</v>
      </c>
      <c r="O32" s="13">
        <v>1</v>
      </c>
      <c r="P32" s="14">
        <v>10356</v>
      </c>
      <c r="Q32" s="45">
        <v>1708</v>
      </c>
      <c r="R32" s="49">
        <v>0</v>
      </c>
      <c r="S32" s="49"/>
      <c r="T32" s="64">
        <f t="shared" si="0"/>
        <v>0</v>
      </c>
      <c r="U32" s="64"/>
    </row>
    <row r="33" spans="1:21" s="32" customFormat="1" ht="45" x14ac:dyDescent="0.2">
      <c r="A33" s="91" t="s">
        <v>466</v>
      </c>
      <c r="B33" s="12" t="s">
        <v>4</v>
      </c>
      <c r="C33" s="12">
        <v>53210</v>
      </c>
      <c r="D33" s="12" t="s">
        <v>5</v>
      </c>
      <c r="E33" s="12" t="s">
        <v>6</v>
      </c>
      <c r="F33" s="13" t="s">
        <v>375</v>
      </c>
      <c r="G33" s="12" t="s">
        <v>21</v>
      </c>
      <c r="H33" s="12"/>
      <c r="I33" s="12" t="s">
        <v>22</v>
      </c>
      <c r="J33" s="12"/>
      <c r="K33" s="12" t="s">
        <v>9</v>
      </c>
      <c r="L33" s="13" t="s">
        <v>380</v>
      </c>
      <c r="M33" s="13" t="s">
        <v>381</v>
      </c>
      <c r="N33" s="14">
        <v>800</v>
      </c>
      <c r="O33" s="13">
        <v>1</v>
      </c>
      <c r="P33" s="14">
        <v>800</v>
      </c>
      <c r="Q33" s="45">
        <v>1713</v>
      </c>
      <c r="R33" s="49">
        <v>0</v>
      </c>
      <c r="S33" s="49"/>
      <c r="T33" s="64">
        <f t="shared" si="0"/>
        <v>0</v>
      </c>
      <c r="U33" s="64"/>
    </row>
    <row r="34" spans="1:21" s="32" customFormat="1" ht="60" x14ac:dyDescent="0.2">
      <c r="A34" s="91" t="s">
        <v>468</v>
      </c>
      <c r="B34" s="12" t="s">
        <v>90</v>
      </c>
      <c r="C34" s="12">
        <v>53920</v>
      </c>
      <c r="D34" s="12" t="s">
        <v>91</v>
      </c>
      <c r="E34" s="12" t="s">
        <v>92</v>
      </c>
      <c r="F34" s="13" t="s">
        <v>375</v>
      </c>
      <c r="G34" s="12" t="s">
        <v>93</v>
      </c>
      <c r="H34" s="12" t="s">
        <v>94</v>
      </c>
      <c r="I34" s="12" t="s">
        <v>22</v>
      </c>
      <c r="J34" s="12">
        <v>1.5</v>
      </c>
      <c r="K34" s="12" t="s">
        <v>26</v>
      </c>
      <c r="L34" s="13" t="s">
        <v>380</v>
      </c>
      <c r="M34" s="13" t="s">
        <v>380</v>
      </c>
      <c r="N34" s="14">
        <v>200</v>
      </c>
      <c r="O34" s="13">
        <v>1</v>
      </c>
      <c r="P34" s="14">
        <v>200</v>
      </c>
      <c r="Q34" s="45">
        <v>1483</v>
      </c>
      <c r="R34" s="49"/>
      <c r="S34" s="50" t="s">
        <v>650</v>
      </c>
      <c r="T34" s="64">
        <f t="shared" si="0"/>
        <v>0</v>
      </c>
      <c r="U34" s="64"/>
    </row>
    <row r="35" spans="1:21" s="32" customFormat="1" ht="60" x14ac:dyDescent="0.2">
      <c r="A35" s="91" t="s">
        <v>469</v>
      </c>
      <c r="B35" s="12" t="s">
        <v>90</v>
      </c>
      <c r="C35" s="12">
        <v>54110</v>
      </c>
      <c r="D35" s="12" t="s">
        <v>91</v>
      </c>
      <c r="E35" s="12" t="s">
        <v>92</v>
      </c>
      <c r="F35" s="13" t="s">
        <v>375</v>
      </c>
      <c r="G35" s="12" t="s">
        <v>95</v>
      </c>
      <c r="H35" s="12" t="s">
        <v>96</v>
      </c>
      <c r="I35" s="12" t="s">
        <v>22</v>
      </c>
      <c r="J35" s="12">
        <v>1.5</v>
      </c>
      <c r="K35" s="12" t="s">
        <v>26</v>
      </c>
      <c r="L35" s="13" t="s">
        <v>380</v>
      </c>
      <c r="M35" s="13" t="s">
        <v>380</v>
      </c>
      <c r="N35" s="14">
        <v>10</v>
      </c>
      <c r="O35" s="13">
        <v>2500</v>
      </c>
      <c r="P35" s="14">
        <v>25000</v>
      </c>
      <c r="Q35" s="45">
        <v>1483</v>
      </c>
      <c r="R35" s="49"/>
      <c r="S35" s="50" t="s">
        <v>650</v>
      </c>
      <c r="T35" s="64">
        <f t="shared" si="0"/>
        <v>0</v>
      </c>
      <c r="U35" s="64"/>
    </row>
    <row r="36" spans="1:21" ht="409" x14ac:dyDescent="0.2">
      <c r="A36" s="11" t="s">
        <v>429</v>
      </c>
      <c r="B36" s="12" t="s">
        <v>90</v>
      </c>
      <c r="C36" s="12">
        <v>51310</v>
      </c>
      <c r="D36" s="12" t="s">
        <v>97</v>
      </c>
      <c r="E36" s="12" t="s">
        <v>98</v>
      </c>
      <c r="F36" s="13" t="s">
        <v>375</v>
      </c>
      <c r="G36" s="12" t="s">
        <v>99</v>
      </c>
      <c r="H36" s="12" t="s">
        <v>546</v>
      </c>
      <c r="I36" s="12" t="s">
        <v>8</v>
      </c>
      <c r="J36" s="12">
        <v>1.3</v>
      </c>
      <c r="K36" s="12" t="s">
        <v>81</v>
      </c>
      <c r="L36" s="13" t="s">
        <v>380</v>
      </c>
      <c r="M36" s="13" t="s">
        <v>381</v>
      </c>
      <c r="N36" s="14">
        <v>25000</v>
      </c>
      <c r="O36" s="13">
        <v>1</v>
      </c>
      <c r="P36" s="14">
        <v>25000</v>
      </c>
      <c r="Q36" s="45">
        <v>1485</v>
      </c>
      <c r="R36" s="49">
        <v>15000</v>
      </c>
      <c r="S36" s="70"/>
      <c r="T36" s="64">
        <f t="shared" si="0"/>
        <v>15000</v>
      </c>
      <c r="U36" s="64"/>
    </row>
    <row r="37" spans="1:21" ht="60" x14ac:dyDescent="0.2">
      <c r="A37" s="11" t="s">
        <v>430</v>
      </c>
      <c r="B37" s="12" t="s">
        <v>68</v>
      </c>
      <c r="C37" s="12">
        <v>51310</v>
      </c>
      <c r="D37" s="12" t="s">
        <v>69</v>
      </c>
      <c r="E37" s="12" t="s">
        <v>70</v>
      </c>
      <c r="F37" s="13" t="s">
        <v>375</v>
      </c>
      <c r="G37" s="12" t="s">
        <v>71</v>
      </c>
      <c r="H37" s="12" t="s">
        <v>72</v>
      </c>
      <c r="I37" s="12" t="s">
        <v>8</v>
      </c>
      <c r="J37" s="12"/>
      <c r="K37" s="12" t="s">
        <v>29</v>
      </c>
      <c r="L37" s="13" t="s">
        <v>380</v>
      </c>
      <c r="M37" s="13" t="s">
        <v>381</v>
      </c>
      <c r="N37" s="14">
        <v>15000</v>
      </c>
      <c r="O37" s="13">
        <v>1</v>
      </c>
      <c r="P37" s="14">
        <v>15000</v>
      </c>
      <c r="Q37" s="45">
        <v>1590</v>
      </c>
      <c r="R37" s="49">
        <v>10000</v>
      </c>
      <c r="S37" s="70"/>
      <c r="T37" s="64">
        <f t="shared" si="0"/>
        <v>10000</v>
      </c>
      <c r="U37" s="64"/>
    </row>
    <row r="38" spans="1:21" ht="60" x14ac:dyDescent="0.2">
      <c r="A38" s="11" t="s">
        <v>431</v>
      </c>
      <c r="B38" s="12" t="s">
        <v>68</v>
      </c>
      <c r="C38" s="12">
        <v>51310</v>
      </c>
      <c r="D38" s="12" t="s">
        <v>74</v>
      </c>
      <c r="E38" s="12" t="s">
        <v>75</v>
      </c>
      <c r="F38" s="13" t="s">
        <v>375</v>
      </c>
      <c r="G38" s="12" t="s">
        <v>76</v>
      </c>
      <c r="H38" s="12" t="s">
        <v>77</v>
      </c>
      <c r="I38" s="12" t="s">
        <v>8</v>
      </c>
      <c r="J38" s="12"/>
      <c r="K38" s="12" t="s">
        <v>26</v>
      </c>
      <c r="L38" s="13" t="s">
        <v>380</v>
      </c>
      <c r="M38" s="13" t="s">
        <v>381</v>
      </c>
      <c r="N38" s="14">
        <v>3000</v>
      </c>
      <c r="O38" s="13">
        <v>1</v>
      </c>
      <c r="P38" s="14">
        <v>3000</v>
      </c>
      <c r="Q38" s="45">
        <v>1589</v>
      </c>
      <c r="R38" s="49">
        <v>1875</v>
      </c>
      <c r="S38" s="70"/>
      <c r="T38" s="64">
        <f t="shared" si="0"/>
        <v>1875</v>
      </c>
      <c r="U38" s="64"/>
    </row>
    <row r="39" spans="1:21" ht="60" x14ac:dyDescent="0.2">
      <c r="A39" s="11" t="s">
        <v>432</v>
      </c>
      <c r="B39" s="12" t="s">
        <v>68</v>
      </c>
      <c r="C39" s="12">
        <v>51310</v>
      </c>
      <c r="D39" s="12" t="s">
        <v>78</v>
      </c>
      <c r="E39" s="12" t="s">
        <v>79</v>
      </c>
      <c r="F39" s="13" t="s">
        <v>375</v>
      </c>
      <c r="G39" s="12" t="s">
        <v>547</v>
      </c>
      <c r="H39" s="12" t="s">
        <v>80</v>
      </c>
      <c r="I39" s="12" t="s">
        <v>8</v>
      </c>
      <c r="J39" s="12"/>
      <c r="K39" s="12" t="s">
        <v>56</v>
      </c>
      <c r="L39" s="13" t="s">
        <v>380</v>
      </c>
      <c r="M39" s="13" t="s">
        <v>381</v>
      </c>
      <c r="N39" s="14">
        <v>3000</v>
      </c>
      <c r="O39" s="13">
        <v>1</v>
      </c>
      <c r="P39" s="14">
        <v>3000</v>
      </c>
      <c r="Q39" s="45">
        <v>1591</v>
      </c>
      <c r="R39" s="49">
        <v>1053</v>
      </c>
      <c r="S39" s="70"/>
      <c r="T39" s="64">
        <f t="shared" si="0"/>
        <v>1053</v>
      </c>
      <c r="U39" s="64"/>
    </row>
    <row r="40" spans="1:21" ht="360" x14ac:dyDescent="0.2">
      <c r="A40" s="11" t="s">
        <v>434</v>
      </c>
      <c r="B40" s="12" t="s">
        <v>200</v>
      </c>
      <c r="C40" s="12">
        <v>51130</v>
      </c>
      <c r="D40" s="12" t="s">
        <v>201</v>
      </c>
      <c r="E40" s="12" t="s">
        <v>202</v>
      </c>
      <c r="F40" s="13" t="s">
        <v>375</v>
      </c>
      <c r="G40" s="12" t="s">
        <v>204</v>
      </c>
      <c r="H40" s="12" t="s">
        <v>549</v>
      </c>
      <c r="I40" s="12" t="s">
        <v>8</v>
      </c>
      <c r="J40" s="12"/>
      <c r="K40" s="12" t="s">
        <v>26</v>
      </c>
      <c r="L40" s="13" t="s">
        <v>380</v>
      </c>
      <c r="M40" s="13" t="s">
        <v>380</v>
      </c>
      <c r="N40" s="14">
        <v>38000</v>
      </c>
      <c r="O40" s="13">
        <v>1</v>
      </c>
      <c r="P40" s="14">
        <v>38000</v>
      </c>
      <c r="Q40" s="45">
        <v>1436</v>
      </c>
      <c r="R40" s="49">
        <v>0</v>
      </c>
      <c r="S40" s="69" t="s">
        <v>599</v>
      </c>
      <c r="T40" s="64">
        <f t="shared" si="0"/>
        <v>0</v>
      </c>
      <c r="U40" s="64"/>
    </row>
    <row r="41" spans="1:21" s="32" customFormat="1" ht="105" x14ac:dyDescent="0.2">
      <c r="A41" s="11" t="s">
        <v>467</v>
      </c>
      <c r="B41" s="12" t="s">
        <v>190</v>
      </c>
      <c r="C41" s="12">
        <v>55400</v>
      </c>
      <c r="D41" s="12" t="s">
        <v>191</v>
      </c>
      <c r="E41" s="12" t="s">
        <v>192</v>
      </c>
      <c r="F41" s="13" t="s">
        <v>375</v>
      </c>
      <c r="G41" s="12" t="s">
        <v>194</v>
      </c>
      <c r="H41" s="12" t="s">
        <v>195</v>
      </c>
      <c r="I41" s="12" t="s">
        <v>22</v>
      </c>
      <c r="J41" s="12"/>
      <c r="K41" s="12" t="s">
        <v>26</v>
      </c>
      <c r="L41" s="13" t="s">
        <v>381</v>
      </c>
      <c r="M41" s="13" t="s">
        <v>380</v>
      </c>
      <c r="N41" s="14">
        <v>153</v>
      </c>
      <c r="O41" s="13">
        <v>1</v>
      </c>
      <c r="P41" s="27">
        <v>153</v>
      </c>
      <c r="Q41" s="46">
        <v>1672</v>
      </c>
      <c r="R41" s="49">
        <v>0</v>
      </c>
      <c r="S41" s="69" t="s">
        <v>600</v>
      </c>
      <c r="T41" s="64">
        <f t="shared" si="0"/>
        <v>0</v>
      </c>
      <c r="U41" s="64"/>
    </row>
    <row r="42" spans="1:21" s="32" customFormat="1" ht="42.75" customHeight="1" x14ac:dyDescent="0.2">
      <c r="A42" s="30" t="s">
        <v>607</v>
      </c>
      <c r="B42" s="22"/>
      <c r="C42" s="22"/>
      <c r="D42" s="22"/>
      <c r="E42" s="22"/>
      <c r="F42" s="22"/>
      <c r="G42" s="22"/>
      <c r="H42" s="22"/>
      <c r="I42" s="22"/>
      <c r="J42" s="22"/>
      <c r="K42" s="22"/>
      <c r="L42" s="22"/>
      <c r="M42" s="22"/>
      <c r="N42" s="22"/>
      <c r="O42" s="22"/>
      <c r="P42" s="29">
        <f>SUM(P6:P41)</f>
        <v>930939</v>
      </c>
      <c r="Q42" s="45"/>
      <c r="R42" s="53">
        <f>SUM(R6:R41)</f>
        <v>566672</v>
      </c>
      <c r="S42" s="69"/>
      <c r="T42" s="79">
        <f>SUM(T6:T41)</f>
        <v>566672</v>
      </c>
      <c r="U42" s="64"/>
    </row>
    <row r="43" spans="1:21" s="32" customFormat="1" ht="29.25" customHeight="1" x14ac:dyDescent="0.2">
      <c r="A43" s="82" t="s">
        <v>580</v>
      </c>
      <c r="B43" s="5"/>
      <c r="C43" s="5"/>
      <c r="D43" s="5"/>
      <c r="E43" s="5"/>
      <c r="F43" s="6"/>
      <c r="G43" s="5"/>
      <c r="H43" s="5"/>
      <c r="I43" s="5"/>
      <c r="J43" s="5"/>
      <c r="K43" s="5"/>
      <c r="L43" s="6"/>
      <c r="M43" s="6"/>
      <c r="N43" s="15"/>
      <c r="O43" s="6"/>
      <c r="P43" s="15"/>
      <c r="Q43" s="67"/>
      <c r="R43" s="53"/>
      <c r="S43" s="53"/>
      <c r="T43" s="79"/>
      <c r="U43" s="79"/>
    </row>
    <row r="44" spans="1:21" ht="409" x14ac:dyDescent="0.2">
      <c r="A44" s="11" t="s">
        <v>450</v>
      </c>
      <c r="B44" s="12" t="s">
        <v>318</v>
      </c>
      <c r="C44" s="12">
        <v>51310</v>
      </c>
      <c r="D44" s="12" t="s">
        <v>319</v>
      </c>
      <c r="E44" s="12" t="s">
        <v>320</v>
      </c>
      <c r="F44" s="13" t="s">
        <v>377</v>
      </c>
      <c r="G44" s="12" t="s">
        <v>321</v>
      </c>
      <c r="H44" s="12" t="s">
        <v>635</v>
      </c>
      <c r="I44" s="12" t="s">
        <v>8</v>
      </c>
      <c r="J44" s="12"/>
      <c r="K44" s="12" t="s">
        <v>26</v>
      </c>
      <c r="L44" s="13" t="s">
        <v>380</v>
      </c>
      <c r="M44" s="13" t="s">
        <v>381</v>
      </c>
      <c r="N44" s="14">
        <v>15600</v>
      </c>
      <c r="O44" s="13">
        <v>4</v>
      </c>
      <c r="P44" s="14">
        <v>62400</v>
      </c>
      <c r="Q44" s="45">
        <v>1675</v>
      </c>
      <c r="R44" s="49">
        <v>64816</v>
      </c>
      <c r="S44" s="49"/>
      <c r="T44" s="64">
        <f t="shared" ref="T44:T61" si="1">R44</f>
        <v>64816</v>
      </c>
      <c r="U44" s="64"/>
    </row>
    <row r="45" spans="1:21" ht="409" x14ac:dyDescent="0.2">
      <c r="A45" s="11" t="s">
        <v>452</v>
      </c>
      <c r="B45" s="12" t="s">
        <v>318</v>
      </c>
      <c r="C45" s="12">
        <v>51230</v>
      </c>
      <c r="D45" s="12" t="s">
        <v>319</v>
      </c>
      <c r="E45" s="12" t="s">
        <v>320</v>
      </c>
      <c r="F45" s="13" t="s">
        <v>377</v>
      </c>
      <c r="G45" s="12" t="s">
        <v>324</v>
      </c>
      <c r="H45" s="12" t="s">
        <v>638</v>
      </c>
      <c r="I45" s="12" t="s">
        <v>8</v>
      </c>
      <c r="J45" s="12" t="s">
        <v>325</v>
      </c>
      <c r="K45" s="12" t="s">
        <v>81</v>
      </c>
      <c r="L45" s="13" t="s">
        <v>381</v>
      </c>
      <c r="M45" s="13" t="s">
        <v>381</v>
      </c>
      <c r="N45" s="14">
        <v>59031</v>
      </c>
      <c r="O45" s="13">
        <v>2</v>
      </c>
      <c r="P45" s="14">
        <v>118062</v>
      </c>
      <c r="Q45" s="45">
        <v>1674</v>
      </c>
      <c r="R45" s="49">
        <v>0</v>
      </c>
      <c r="S45" s="49"/>
      <c r="T45" s="64">
        <f t="shared" si="1"/>
        <v>0</v>
      </c>
      <c r="U45" s="64"/>
    </row>
    <row r="46" spans="1:21" ht="195" x14ac:dyDescent="0.2">
      <c r="A46" s="11" t="s">
        <v>453</v>
      </c>
      <c r="B46" s="12" t="s">
        <v>318</v>
      </c>
      <c r="C46" s="12">
        <v>51230</v>
      </c>
      <c r="D46" s="12" t="s">
        <v>326</v>
      </c>
      <c r="E46" s="12" t="s">
        <v>327</v>
      </c>
      <c r="F46" s="13" t="s">
        <v>377</v>
      </c>
      <c r="G46" s="12" t="s">
        <v>335</v>
      </c>
      <c r="H46" s="12" t="s">
        <v>336</v>
      </c>
      <c r="I46" s="12" t="s">
        <v>8</v>
      </c>
      <c r="J46" s="12" t="s">
        <v>330</v>
      </c>
      <c r="K46" s="12" t="s">
        <v>26</v>
      </c>
      <c r="L46" s="13" t="s">
        <v>380</v>
      </c>
      <c r="M46" s="13" t="s">
        <v>380</v>
      </c>
      <c r="N46" s="14">
        <v>42520</v>
      </c>
      <c r="O46" s="13">
        <v>1</v>
      </c>
      <c r="P46" s="14">
        <v>42520</v>
      </c>
      <c r="Q46" s="45">
        <v>1677</v>
      </c>
      <c r="R46" s="49"/>
      <c r="S46" s="50" t="s">
        <v>634</v>
      </c>
      <c r="T46" s="64">
        <f t="shared" si="1"/>
        <v>0</v>
      </c>
      <c r="U46" s="64"/>
    </row>
    <row r="47" spans="1:21" ht="225" x14ac:dyDescent="0.2">
      <c r="A47" s="11" t="s">
        <v>454</v>
      </c>
      <c r="B47" s="12" t="s">
        <v>318</v>
      </c>
      <c r="C47" s="12">
        <v>51310</v>
      </c>
      <c r="D47" s="12" t="s">
        <v>326</v>
      </c>
      <c r="E47" s="12" t="s">
        <v>327</v>
      </c>
      <c r="F47" s="13" t="s">
        <v>377</v>
      </c>
      <c r="G47" s="12" t="s">
        <v>337</v>
      </c>
      <c r="H47" s="12" t="s">
        <v>338</v>
      </c>
      <c r="I47" s="12" t="s">
        <v>8</v>
      </c>
      <c r="J47" s="12" t="s">
        <v>330</v>
      </c>
      <c r="K47" s="12" t="s">
        <v>29</v>
      </c>
      <c r="L47" s="13" t="s">
        <v>380</v>
      </c>
      <c r="M47" s="13" t="s">
        <v>380</v>
      </c>
      <c r="N47" s="14">
        <v>11</v>
      </c>
      <c r="O47" s="13">
        <v>2080</v>
      </c>
      <c r="P47" s="14">
        <v>22880</v>
      </c>
      <c r="Q47" s="45">
        <v>1677</v>
      </c>
      <c r="R47" s="49">
        <v>0</v>
      </c>
      <c r="S47" s="49"/>
      <c r="T47" s="64">
        <f t="shared" si="1"/>
        <v>0</v>
      </c>
      <c r="U47" s="64"/>
    </row>
    <row r="48" spans="1:21" ht="135" x14ac:dyDescent="0.2">
      <c r="A48" s="11" t="s">
        <v>455</v>
      </c>
      <c r="B48" s="12" t="s">
        <v>318</v>
      </c>
      <c r="C48" s="12">
        <v>51230</v>
      </c>
      <c r="D48" s="12" t="s">
        <v>343</v>
      </c>
      <c r="E48" s="12" t="s">
        <v>344</v>
      </c>
      <c r="F48" s="13" t="s">
        <v>377</v>
      </c>
      <c r="G48" s="12" t="s">
        <v>345</v>
      </c>
      <c r="H48" s="12" t="s">
        <v>346</v>
      </c>
      <c r="I48" s="12" t="s">
        <v>8</v>
      </c>
      <c r="J48" s="12"/>
      <c r="K48" s="12" t="s">
        <v>26</v>
      </c>
      <c r="L48" s="13" t="s">
        <v>381</v>
      </c>
      <c r="M48" s="13" t="s">
        <v>381</v>
      </c>
      <c r="N48" s="14">
        <v>70000</v>
      </c>
      <c r="O48" s="13">
        <v>1</v>
      </c>
      <c r="P48" s="14">
        <v>70000</v>
      </c>
      <c r="Q48" s="45">
        <v>1697</v>
      </c>
      <c r="R48" s="49">
        <v>46264</v>
      </c>
      <c r="S48" s="50" t="s">
        <v>640</v>
      </c>
      <c r="T48" s="64">
        <f t="shared" si="1"/>
        <v>46264</v>
      </c>
      <c r="U48" s="64"/>
    </row>
    <row r="49" spans="1:21" ht="60" x14ac:dyDescent="0.2">
      <c r="A49" s="11" t="s">
        <v>479</v>
      </c>
      <c r="B49" s="12" t="s">
        <v>318</v>
      </c>
      <c r="C49" s="12">
        <v>53210</v>
      </c>
      <c r="D49" s="12" t="s">
        <v>326</v>
      </c>
      <c r="E49" s="12" t="s">
        <v>327</v>
      </c>
      <c r="F49" s="13" t="s">
        <v>377</v>
      </c>
      <c r="G49" s="12" t="s">
        <v>328</v>
      </c>
      <c r="H49" s="12" t="s">
        <v>329</v>
      </c>
      <c r="I49" s="12" t="s">
        <v>22</v>
      </c>
      <c r="J49" s="12" t="s">
        <v>330</v>
      </c>
      <c r="K49" s="12" t="s">
        <v>26</v>
      </c>
      <c r="L49" s="13" t="s">
        <v>380</v>
      </c>
      <c r="M49" s="13" t="s">
        <v>380</v>
      </c>
      <c r="N49" s="14">
        <v>950</v>
      </c>
      <c r="O49" s="13">
        <v>1</v>
      </c>
      <c r="P49" s="14">
        <v>950</v>
      </c>
      <c r="Q49" s="45">
        <v>1677</v>
      </c>
      <c r="R49" s="49">
        <v>0</v>
      </c>
      <c r="S49" s="50" t="s">
        <v>637</v>
      </c>
      <c r="T49" s="64">
        <f t="shared" si="1"/>
        <v>0</v>
      </c>
      <c r="U49" s="64"/>
    </row>
    <row r="50" spans="1:21" ht="78" customHeight="1" x14ac:dyDescent="0.2">
      <c r="A50" s="11" t="s">
        <v>480</v>
      </c>
      <c r="B50" s="12" t="s">
        <v>318</v>
      </c>
      <c r="C50" s="12">
        <v>53920</v>
      </c>
      <c r="D50" s="12" t="s">
        <v>326</v>
      </c>
      <c r="E50" s="12" t="s">
        <v>327</v>
      </c>
      <c r="F50" s="13" t="s">
        <v>377</v>
      </c>
      <c r="G50" s="12" t="s">
        <v>331</v>
      </c>
      <c r="H50" s="12" t="s">
        <v>332</v>
      </c>
      <c r="I50" s="12" t="s">
        <v>22</v>
      </c>
      <c r="J50" s="12" t="s">
        <v>330</v>
      </c>
      <c r="K50" s="12" t="s">
        <v>144</v>
      </c>
      <c r="L50" s="13" t="s">
        <v>380</v>
      </c>
      <c r="M50" s="13" t="s">
        <v>380</v>
      </c>
      <c r="N50" s="14">
        <v>400</v>
      </c>
      <c r="O50" s="13">
        <v>1</v>
      </c>
      <c r="P50" s="14">
        <v>400</v>
      </c>
      <c r="Q50" s="45">
        <v>1677</v>
      </c>
      <c r="R50" s="49">
        <v>0</v>
      </c>
      <c r="S50" s="50" t="s">
        <v>637</v>
      </c>
      <c r="T50" s="64">
        <f t="shared" si="1"/>
        <v>0</v>
      </c>
      <c r="U50" s="64"/>
    </row>
    <row r="51" spans="1:21" ht="135" x14ac:dyDescent="0.2">
      <c r="A51" s="11" t="s">
        <v>481</v>
      </c>
      <c r="B51" s="12" t="s">
        <v>318</v>
      </c>
      <c r="C51" s="12">
        <v>55400</v>
      </c>
      <c r="D51" s="12" t="s">
        <v>326</v>
      </c>
      <c r="E51" s="12" t="s">
        <v>327</v>
      </c>
      <c r="F51" s="13" t="s">
        <v>377</v>
      </c>
      <c r="G51" s="12" t="s">
        <v>333</v>
      </c>
      <c r="H51" s="12" t="s">
        <v>334</v>
      </c>
      <c r="I51" s="12" t="s">
        <v>22</v>
      </c>
      <c r="J51" s="12" t="s">
        <v>330</v>
      </c>
      <c r="K51" s="12" t="s">
        <v>81</v>
      </c>
      <c r="L51" s="13" t="s">
        <v>380</v>
      </c>
      <c r="M51" s="13" t="s">
        <v>380</v>
      </c>
      <c r="N51" s="14">
        <v>250</v>
      </c>
      <c r="O51" s="13">
        <v>1</v>
      </c>
      <c r="P51" s="14">
        <v>250</v>
      </c>
      <c r="Q51" s="45">
        <v>1677</v>
      </c>
      <c r="R51" s="49"/>
      <c r="S51" s="50" t="s">
        <v>637</v>
      </c>
      <c r="T51" s="64">
        <f t="shared" si="1"/>
        <v>0</v>
      </c>
      <c r="U51" s="64"/>
    </row>
    <row r="52" spans="1:21" ht="78.75" customHeight="1" x14ac:dyDescent="0.2">
      <c r="A52" s="11" t="s">
        <v>482</v>
      </c>
      <c r="B52" s="12" t="s">
        <v>318</v>
      </c>
      <c r="C52" s="12">
        <v>54101</v>
      </c>
      <c r="D52" s="12" t="s">
        <v>326</v>
      </c>
      <c r="E52" s="12" t="s">
        <v>327</v>
      </c>
      <c r="F52" s="13" t="s">
        <v>377</v>
      </c>
      <c r="G52" s="12" t="s">
        <v>339</v>
      </c>
      <c r="H52" s="12" t="s">
        <v>340</v>
      </c>
      <c r="I52" s="12" t="s">
        <v>22</v>
      </c>
      <c r="J52" s="12" t="s">
        <v>330</v>
      </c>
      <c r="K52" s="12" t="s">
        <v>144</v>
      </c>
      <c r="L52" s="13" t="s">
        <v>380</v>
      </c>
      <c r="M52" s="13" t="s">
        <v>380</v>
      </c>
      <c r="N52" s="14">
        <v>1</v>
      </c>
      <c r="O52" s="13">
        <v>46250</v>
      </c>
      <c r="P52" s="14">
        <v>46250</v>
      </c>
      <c r="Q52" s="45">
        <v>1677</v>
      </c>
      <c r="R52" s="49"/>
      <c r="S52" s="50" t="s">
        <v>637</v>
      </c>
      <c r="T52" s="64">
        <f t="shared" si="1"/>
        <v>0</v>
      </c>
      <c r="U52" s="64"/>
    </row>
    <row r="53" spans="1:21" ht="45" x14ac:dyDescent="0.2">
      <c r="A53" s="11" t="s">
        <v>483</v>
      </c>
      <c r="B53" s="12" t="s">
        <v>318</v>
      </c>
      <c r="C53" s="12">
        <v>54101</v>
      </c>
      <c r="D53" s="12" t="s">
        <v>326</v>
      </c>
      <c r="E53" s="12" t="s">
        <v>327</v>
      </c>
      <c r="F53" s="13" t="s">
        <v>377</v>
      </c>
      <c r="G53" s="12" t="s">
        <v>341</v>
      </c>
      <c r="H53" s="12" t="s">
        <v>342</v>
      </c>
      <c r="I53" s="12" t="s">
        <v>22</v>
      </c>
      <c r="J53" s="12" t="s">
        <v>330</v>
      </c>
      <c r="K53" s="12" t="s">
        <v>144</v>
      </c>
      <c r="L53" s="13" t="s">
        <v>380</v>
      </c>
      <c r="M53" s="13" t="s">
        <v>380</v>
      </c>
      <c r="N53" s="14">
        <v>1</v>
      </c>
      <c r="O53" s="13">
        <v>400</v>
      </c>
      <c r="P53" s="14">
        <v>400</v>
      </c>
      <c r="Q53" s="45">
        <v>1677</v>
      </c>
      <c r="R53" s="49"/>
      <c r="S53" s="50" t="s">
        <v>637</v>
      </c>
      <c r="T53" s="64">
        <f t="shared" si="1"/>
        <v>0</v>
      </c>
      <c r="U53" s="64"/>
    </row>
    <row r="54" spans="1:21" ht="154.5" customHeight="1" x14ac:dyDescent="0.2">
      <c r="A54" s="11" t="s">
        <v>456</v>
      </c>
      <c r="B54" s="12" t="s">
        <v>61</v>
      </c>
      <c r="C54" s="12">
        <v>51230</v>
      </c>
      <c r="D54" s="12" t="s">
        <v>62</v>
      </c>
      <c r="E54" s="12" t="s">
        <v>63</v>
      </c>
      <c r="F54" s="13" t="s">
        <v>377</v>
      </c>
      <c r="G54" s="12" t="s">
        <v>636</v>
      </c>
      <c r="H54" s="12" t="s">
        <v>64</v>
      </c>
      <c r="I54" s="12" t="s">
        <v>8</v>
      </c>
      <c r="J54" s="12" t="s">
        <v>65</v>
      </c>
      <c r="K54" s="12" t="s">
        <v>26</v>
      </c>
      <c r="L54" s="13" t="s">
        <v>381</v>
      </c>
      <c r="M54" s="13" t="s">
        <v>381</v>
      </c>
      <c r="N54" s="14">
        <v>26000</v>
      </c>
      <c r="O54" s="13">
        <v>1</v>
      </c>
      <c r="P54" s="14">
        <v>26000</v>
      </c>
      <c r="Q54" s="45">
        <v>1539</v>
      </c>
      <c r="R54" s="49">
        <v>21475</v>
      </c>
      <c r="S54" s="49"/>
      <c r="T54" s="64">
        <f t="shared" si="1"/>
        <v>21475</v>
      </c>
      <c r="U54" s="64"/>
    </row>
    <row r="55" spans="1:21" ht="195" x14ac:dyDescent="0.2">
      <c r="A55" s="11" t="s">
        <v>484</v>
      </c>
      <c r="B55" s="12" t="s">
        <v>264</v>
      </c>
      <c r="C55" s="12">
        <v>54100</v>
      </c>
      <c r="D55" s="12" t="s">
        <v>265</v>
      </c>
      <c r="E55" s="12" t="s">
        <v>266</v>
      </c>
      <c r="F55" s="13" t="s">
        <v>377</v>
      </c>
      <c r="G55" s="12" t="s">
        <v>267</v>
      </c>
      <c r="H55" s="12" t="s">
        <v>268</v>
      </c>
      <c r="I55" s="12" t="s">
        <v>22</v>
      </c>
      <c r="J55" s="12"/>
      <c r="K55" s="12" t="s">
        <v>26</v>
      </c>
      <c r="L55" s="13" t="s">
        <v>381</v>
      </c>
      <c r="M55" s="13" t="s">
        <v>381</v>
      </c>
      <c r="N55" s="14">
        <v>5000</v>
      </c>
      <c r="O55" s="13">
        <v>1</v>
      </c>
      <c r="P55" s="14">
        <v>5000</v>
      </c>
      <c r="Q55" s="45">
        <v>1692</v>
      </c>
      <c r="R55" s="49">
        <v>0</v>
      </c>
      <c r="S55" s="49"/>
      <c r="T55" s="64">
        <f t="shared" si="1"/>
        <v>0</v>
      </c>
      <c r="U55" s="64"/>
    </row>
    <row r="56" spans="1:21" ht="75" x14ac:dyDescent="0.2">
      <c r="A56" s="11" t="s">
        <v>457</v>
      </c>
      <c r="B56" s="12" t="s">
        <v>367</v>
      </c>
      <c r="C56" s="12">
        <v>51230</v>
      </c>
      <c r="D56" s="12" t="s">
        <v>368</v>
      </c>
      <c r="E56" s="12" t="s">
        <v>271</v>
      </c>
      <c r="F56" s="13" t="s">
        <v>377</v>
      </c>
      <c r="G56" s="12" t="s">
        <v>369</v>
      </c>
      <c r="H56" s="12" t="s">
        <v>370</v>
      </c>
      <c r="I56" s="12" t="s">
        <v>8</v>
      </c>
      <c r="J56" s="12"/>
      <c r="K56" s="12" t="s">
        <v>26</v>
      </c>
      <c r="L56" s="13" t="s">
        <v>381</v>
      </c>
      <c r="M56" s="13" t="s">
        <v>380</v>
      </c>
      <c r="N56" s="14">
        <v>63000</v>
      </c>
      <c r="O56" s="13">
        <v>2</v>
      </c>
      <c r="P56" s="14">
        <v>126000</v>
      </c>
      <c r="Q56" s="45">
        <v>1583</v>
      </c>
      <c r="R56" s="49">
        <v>50018</v>
      </c>
      <c r="S56" s="50" t="s">
        <v>639</v>
      </c>
      <c r="T56" s="64">
        <f t="shared" si="1"/>
        <v>50018</v>
      </c>
      <c r="U56" s="64"/>
    </row>
    <row r="57" spans="1:21" ht="229.5" customHeight="1" x14ac:dyDescent="0.2">
      <c r="A57" s="11" t="s">
        <v>458</v>
      </c>
      <c r="B57" s="12" t="s">
        <v>367</v>
      </c>
      <c r="C57" s="12">
        <v>51310</v>
      </c>
      <c r="D57" s="12" t="s">
        <v>371</v>
      </c>
      <c r="E57" s="12" t="s">
        <v>38</v>
      </c>
      <c r="F57" s="13" t="s">
        <v>377</v>
      </c>
      <c r="G57" s="12" t="s">
        <v>372</v>
      </c>
      <c r="H57" s="12" t="s">
        <v>373</v>
      </c>
      <c r="I57" s="12" t="s">
        <v>8</v>
      </c>
      <c r="J57" s="12">
        <v>1.3</v>
      </c>
      <c r="K57" s="12" t="s">
        <v>81</v>
      </c>
      <c r="L57" s="13" t="s">
        <v>381</v>
      </c>
      <c r="M57" s="13" t="s">
        <v>380</v>
      </c>
      <c r="N57" s="14">
        <v>21000</v>
      </c>
      <c r="O57" s="13">
        <v>1</v>
      </c>
      <c r="P57" s="14">
        <v>21000</v>
      </c>
      <c r="Q57" s="45">
        <v>1751</v>
      </c>
      <c r="R57" s="49">
        <v>0</v>
      </c>
      <c r="S57" s="49"/>
      <c r="T57" s="64">
        <f t="shared" si="1"/>
        <v>0</v>
      </c>
      <c r="U57" s="64"/>
    </row>
    <row r="58" spans="1:21" ht="210" x14ac:dyDescent="0.2">
      <c r="A58" s="11" t="s">
        <v>485</v>
      </c>
      <c r="B58" s="12" t="s">
        <v>307</v>
      </c>
      <c r="C58" s="12">
        <v>55400</v>
      </c>
      <c r="D58" s="12" t="s">
        <v>308</v>
      </c>
      <c r="E58" s="12" t="s">
        <v>309</v>
      </c>
      <c r="F58" s="13" t="s">
        <v>377</v>
      </c>
      <c r="G58" s="12" t="s">
        <v>310</v>
      </c>
      <c r="H58" s="12" t="s">
        <v>311</v>
      </c>
      <c r="I58" s="12" t="s">
        <v>22</v>
      </c>
      <c r="J58" s="12">
        <v>1.2</v>
      </c>
      <c r="K58" s="12" t="s">
        <v>144</v>
      </c>
      <c r="L58" s="13" t="s">
        <v>381</v>
      </c>
      <c r="M58" s="13" t="s">
        <v>380</v>
      </c>
      <c r="N58" s="14">
        <v>1100</v>
      </c>
      <c r="O58" s="13">
        <v>1</v>
      </c>
      <c r="P58" s="14">
        <v>1100</v>
      </c>
      <c r="Q58" s="45">
        <v>1381</v>
      </c>
      <c r="R58" s="49">
        <v>0</v>
      </c>
      <c r="S58" s="49"/>
      <c r="T58" s="64">
        <f t="shared" si="1"/>
        <v>0</v>
      </c>
      <c r="U58" s="64"/>
    </row>
    <row r="59" spans="1:21" ht="90" x14ac:dyDescent="0.2">
      <c r="A59" s="11" t="s">
        <v>459</v>
      </c>
      <c r="B59" s="12" t="s">
        <v>255</v>
      </c>
      <c r="C59" s="12">
        <v>51310</v>
      </c>
      <c r="D59" s="12" t="s">
        <v>256</v>
      </c>
      <c r="E59" s="12" t="s">
        <v>257</v>
      </c>
      <c r="F59" s="13" t="s">
        <v>377</v>
      </c>
      <c r="G59" s="12" t="s">
        <v>261</v>
      </c>
      <c r="H59" s="12" t="s">
        <v>262</v>
      </c>
      <c r="I59" s="12" t="s">
        <v>8</v>
      </c>
      <c r="J59" s="12">
        <v>1.3</v>
      </c>
      <c r="K59" s="12" t="s">
        <v>29</v>
      </c>
      <c r="L59" s="13" t="s">
        <v>381</v>
      </c>
      <c r="M59" s="13" t="s">
        <v>381</v>
      </c>
      <c r="N59" s="14">
        <v>94000</v>
      </c>
      <c r="O59" s="13">
        <v>1</v>
      </c>
      <c r="P59" s="14">
        <v>94000</v>
      </c>
      <c r="Q59" s="45">
        <v>1550</v>
      </c>
      <c r="R59" s="49">
        <v>0</v>
      </c>
      <c r="S59" s="49"/>
      <c r="T59" s="64">
        <f t="shared" si="1"/>
        <v>0</v>
      </c>
      <c r="U59" s="64"/>
    </row>
    <row r="60" spans="1:21" ht="60" x14ac:dyDescent="0.2">
      <c r="A60" s="11" t="s">
        <v>486</v>
      </c>
      <c r="B60" s="12" t="s">
        <v>255</v>
      </c>
      <c r="C60" s="12">
        <v>53550</v>
      </c>
      <c r="D60" s="12" t="s">
        <v>256</v>
      </c>
      <c r="E60" s="12" t="s">
        <v>257</v>
      </c>
      <c r="F60" s="13" t="s">
        <v>377</v>
      </c>
      <c r="G60" s="12" t="s">
        <v>258</v>
      </c>
      <c r="H60" s="12" t="s">
        <v>259</v>
      </c>
      <c r="I60" s="12" t="s">
        <v>22</v>
      </c>
      <c r="J60" s="12">
        <v>1.3</v>
      </c>
      <c r="K60" s="12" t="s">
        <v>32</v>
      </c>
      <c r="L60" s="13" t="s">
        <v>380</v>
      </c>
      <c r="M60" s="13" t="s">
        <v>380</v>
      </c>
      <c r="N60" s="14">
        <v>16500</v>
      </c>
      <c r="O60" s="13">
        <v>1</v>
      </c>
      <c r="P60" s="14">
        <v>16500</v>
      </c>
      <c r="Q60" s="45">
        <v>1547</v>
      </c>
      <c r="R60" s="49">
        <v>0</v>
      </c>
      <c r="S60" s="49"/>
      <c r="T60" s="64">
        <f t="shared" si="1"/>
        <v>0</v>
      </c>
      <c r="U60" s="64"/>
    </row>
    <row r="61" spans="1:21" ht="210" x14ac:dyDescent="0.2">
      <c r="A61" s="11" t="s">
        <v>487</v>
      </c>
      <c r="B61" s="12" t="s">
        <v>255</v>
      </c>
      <c r="C61" s="12">
        <v>53550</v>
      </c>
      <c r="D61" s="12" t="s">
        <v>256</v>
      </c>
      <c r="E61" s="12" t="s">
        <v>257</v>
      </c>
      <c r="F61" s="13" t="s">
        <v>377</v>
      </c>
      <c r="G61" s="12" t="s">
        <v>260</v>
      </c>
      <c r="H61" s="12" t="s">
        <v>558</v>
      </c>
      <c r="I61" s="12" t="s">
        <v>22</v>
      </c>
      <c r="J61" s="12">
        <v>1.3</v>
      </c>
      <c r="K61" s="12" t="s">
        <v>32</v>
      </c>
      <c r="L61" s="13" t="s">
        <v>381</v>
      </c>
      <c r="M61" s="13" t="s">
        <v>380</v>
      </c>
      <c r="N61" s="14">
        <v>25000</v>
      </c>
      <c r="O61" s="13">
        <v>1</v>
      </c>
      <c r="P61" s="14">
        <v>25000</v>
      </c>
      <c r="Q61" s="45">
        <v>1547</v>
      </c>
      <c r="R61" s="49">
        <v>0</v>
      </c>
      <c r="S61" s="49"/>
      <c r="T61" s="64">
        <f t="shared" si="1"/>
        <v>0</v>
      </c>
      <c r="U61" s="64"/>
    </row>
    <row r="62" spans="1:21" s="32" customFormat="1" ht="30.75" customHeight="1" x14ac:dyDescent="0.2">
      <c r="A62" s="30" t="s">
        <v>641</v>
      </c>
      <c r="B62" s="28"/>
      <c r="C62" s="28"/>
      <c r="D62" s="28"/>
      <c r="E62" s="28"/>
      <c r="F62" s="26"/>
      <c r="G62" s="28"/>
      <c r="H62" s="24"/>
      <c r="I62" s="12"/>
      <c r="J62" s="12"/>
      <c r="K62" s="12"/>
      <c r="L62" s="13"/>
      <c r="M62" s="13"/>
      <c r="N62" s="14"/>
      <c r="O62" s="13"/>
      <c r="P62" s="83">
        <f>SUM(P44:P61)</f>
        <v>678712</v>
      </c>
      <c r="Q62" s="66"/>
      <c r="R62" s="53">
        <f>SUM(R44:R61)</f>
        <v>182573</v>
      </c>
      <c r="S62" s="49"/>
      <c r="T62" s="79">
        <f>SUM(T44:T61)</f>
        <v>182573</v>
      </c>
      <c r="U62" s="64"/>
    </row>
    <row r="63" spans="1:21" s="32" customFormat="1" ht="36.75" customHeight="1" x14ac:dyDescent="0.2">
      <c r="A63" s="18" t="s">
        <v>581</v>
      </c>
      <c r="B63" s="19"/>
      <c r="C63" s="19"/>
      <c r="D63" s="19"/>
      <c r="E63" s="19"/>
      <c r="F63" s="19"/>
      <c r="G63" s="19"/>
      <c r="H63" s="20"/>
      <c r="I63" s="5"/>
      <c r="J63" s="5"/>
      <c r="K63" s="5"/>
      <c r="L63" s="6"/>
      <c r="M63" s="6"/>
      <c r="N63" s="15"/>
      <c r="O63" s="6"/>
      <c r="P63" s="23"/>
      <c r="Q63" s="68"/>
      <c r="R63" s="53"/>
      <c r="S63" s="54"/>
      <c r="T63" s="79"/>
      <c r="U63" s="64"/>
    </row>
    <row r="64" spans="1:21" ht="285" hidden="1" x14ac:dyDescent="0.2">
      <c r="A64" s="11" t="s">
        <v>435</v>
      </c>
      <c r="B64" s="12" t="s">
        <v>138</v>
      </c>
      <c r="C64" s="12">
        <v>51310</v>
      </c>
      <c r="D64" s="12" t="s">
        <v>139</v>
      </c>
      <c r="E64" s="12" t="s">
        <v>140</v>
      </c>
      <c r="F64" s="13" t="s">
        <v>376</v>
      </c>
      <c r="G64" s="12" t="s">
        <v>141</v>
      </c>
      <c r="H64" s="12" t="s">
        <v>142</v>
      </c>
      <c r="I64" s="12" t="s">
        <v>8</v>
      </c>
      <c r="J64" s="12" t="s">
        <v>143</v>
      </c>
      <c r="K64" s="12" t="s">
        <v>144</v>
      </c>
      <c r="L64" s="13" t="s">
        <v>380</v>
      </c>
      <c r="M64" s="13" t="s">
        <v>380</v>
      </c>
      <c r="N64" s="14">
        <v>19859</v>
      </c>
      <c r="O64" s="13">
        <v>1</v>
      </c>
      <c r="P64" s="25">
        <v>19859</v>
      </c>
      <c r="Q64" s="66">
        <v>1694</v>
      </c>
      <c r="R64" s="49"/>
      <c r="S64" s="50" t="s">
        <v>630</v>
      </c>
      <c r="T64" s="64"/>
      <c r="U64" s="81"/>
    </row>
    <row r="65" spans="1:21" ht="377.25" customHeight="1" x14ac:dyDescent="0.2">
      <c r="A65" s="11" t="s">
        <v>436</v>
      </c>
      <c r="B65" s="12" t="s">
        <v>23</v>
      </c>
      <c r="C65" s="12">
        <v>51230</v>
      </c>
      <c r="D65" s="12" t="s">
        <v>24</v>
      </c>
      <c r="E65" s="12" t="s">
        <v>25</v>
      </c>
      <c r="F65" s="13" t="s">
        <v>376</v>
      </c>
      <c r="G65" s="12" t="s">
        <v>631</v>
      </c>
      <c r="H65" s="12" t="s">
        <v>550</v>
      </c>
      <c r="I65" s="12" t="s">
        <v>8</v>
      </c>
      <c r="J65" s="12">
        <v>3.1</v>
      </c>
      <c r="K65" s="12" t="s">
        <v>26</v>
      </c>
      <c r="L65" s="13" t="s">
        <v>380</v>
      </c>
      <c r="M65" s="13" t="s">
        <v>381</v>
      </c>
      <c r="N65" s="14">
        <v>43204</v>
      </c>
      <c r="O65" s="13">
        <v>1</v>
      </c>
      <c r="P65" s="14">
        <v>43204</v>
      </c>
      <c r="Q65" s="45">
        <v>1720</v>
      </c>
      <c r="R65" s="49">
        <v>34403</v>
      </c>
      <c r="S65" s="50" t="s">
        <v>632</v>
      </c>
      <c r="T65" s="64">
        <f t="shared" ref="T65:T71" si="2">R65</f>
        <v>34403</v>
      </c>
      <c r="U65" s="64"/>
    </row>
    <row r="66" spans="1:21" ht="242.25" customHeight="1" x14ac:dyDescent="0.2">
      <c r="A66" s="11" t="s">
        <v>437</v>
      </c>
      <c r="B66" s="12" t="s">
        <v>23</v>
      </c>
      <c r="C66" s="12">
        <v>51310</v>
      </c>
      <c r="D66" s="12" t="s">
        <v>24</v>
      </c>
      <c r="E66" s="12" t="s">
        <v>25</v>
      </c>
      <c r="F66" s="13" t="s">
        <v>376</v>
      </c>
      <c r="G66" s="12" t="s">
        <v>27</v>
      </c>
      <c r="H66" s="12" t="s">
        <v>28</v>
      </c>
      <c r="I66" s="12" t="s">
        <v>8</v>
      </c>
      <c r="J66" s="12">
        <v>3.1</v>
      </c>
      <c r="K66" s="12" t="s">
        <v>29</v>
      </c>
      <c r="L66" s="13" t="s">
        <v>380</v>
      </c>
      <c r="M66" s="13" t="s">
        <v>381</v>
      </c>
      <c r="N66" s="14">
        <v>33330</v>
      </c>
      <c r="O66" s="13">
        <v>1</v>
      </c>
      <c r="P66" s="14">
        <v>33330</v>
      </c>
      <c r="Q66" s="45">
        <v>1722</v>
      </c>
      <c r="R66" s="49">
        <v>22877</v>
      </c>
      <c r="S66" s="59"/>
      <c r="T66" s="64">
        <f t="shared" si="2"/>
        <v>22877</v>
      </c>
      <c r="U66" s="64"/>
    </row>
    <row r="67" spans="1:21" ht="105" x14ac:dyDescent="0.2">
      <c r="A67" s="11" t="s">
        <v>438</v>
      </c>
      <c r="B67" s="12" t="s">
        <v>145</v>
      </c>
      <c r="C67" s="12">
        <v>51310</v>
      </c>
      <c r="D67" s="12" t="s">
        <v>146</v>
      </c>
      <c r="E67" s="12" t="s">
        <v>42</v>
      </c>
      <c r="F67" s="13" t="s">
        <v>376</v>
      </c>
      <c r="G67" s="12" t="s">
        <v>149</v>
      </c>
      <c r="H67" s="12" t="s">
        <v>150</v>
      </c>
      <c r="I67" s="12" t="s">
        <v>8</v>
      </c>
      <c r="J67" s="12">
        <v>4.0999999999999996</v>
      </c>
      <c r="K67" s="12" t="s">
        <v>26</v>
      </c>
      <c r="L67" s="13" t="s">
        <v>380</v>
      </c>
      <c r="M67" s="13" t="s">
        <v>381</v>
      </c>
      <c r="N67" s="14">
        <v>90000</v>
      </c>
      <c r="O67" s="13">
        <v>1</v>
      </c>
      <c r="P67" s="14">
        <v>90000</v>
      </c>
      <c r="Q67" s="45">
        <v>1478</v>
      </c>
      <c r="R67" s="49">
        <v>30000</v>
      </c>
      <c r="S67" s="49"/>
      <c r="T67" s="64">
        <f t="shared" si="2"/>
        <v>30000</v>
      </c>
      <c r="U67" s="64"/>
    </row>
    <row r="68" spans="1:21" ht="150" x14ac:dyDescent="0.2">
      <c r="A68" s="11" t="s">
        <v>439</v>
      </c>
      <c r="B68" s="12" t="s">
        <v>126</v>
      </c>
      <c r="C68" s="12">
        <v>51310</v>
      </c>
      <c r="D68" s="12" t="s">
        <v>127</v>
      </c>
      <c r="E68" s="12" t="s">
        <v>128</v>
      </c>
      <c r="F68" s="13" t="s">
        <v>376</v>
      </c>
      <c r="G68" s="12" t="s">
        <v>129</v>
      </c>
      <c r="H68" s="12" t="s">
        <v>130</v>
      </c>
      <c r="I68" s="12" t="s">
        <v>8</v>
      </c>
      <c r="J68" s="12"/>
      <c r="K68" s="12" t="s">
        <v>26</v>
      </c>
      <c r="L68" s="13" t="s">
        <v>380</v>
      </c>
      <c r="M68" s="13" t="s">
        <v>381</v>
      </c>
      <c r="N68" s="14">
        <v>14500</v>
      </c>
      <c r="O68" s="13">
        <v>1</v>
      </c>
      <c r="P68" s="14">
        <v>14500</v>
      </c>
      <c r="Q68" s="45">
        <v>1656</v>
      </c>
      <c r="R68" s="49">
        <v>0</v>
      </c>
      <c r="S68" s="49"/>
      <c r="T68" s="64">
        <f t="shared" si="2"/>
        <v>0</v>
      </c>
      <c r="U68" s="64"/>
    </row>
    <row r="69" spans="1:21" ht="195" customHeight="1" x14ac:dyDescent="0.2">
      <c r="A69" s="11" t="s">
        <v>440</v>
      </c>
      <c r="B69" s="12" t="s">
        <v>126</v>
      </c>
      <c r="C69" s="12">
        <v>51230</v>
      </c>
      <c r="D69" s="12" t="s">
        <v>127</v>
      </c>
      <c r="E69" s="12" t="s">
        <v>128</v>
      </c>
      <c r="F69" s="13" t="s">
        <v>376</v>
      </c>
      <c r="G69" s="12" t="s">
        <v>135</v>
      </c>
      <c r="H69" s="12" t="s">
        <v>136</v>
      </c>
      <c r="I69" s="12" t="s">
        <v>8</v>
      </c>
      <c r="J69" s="12"/>
      <c r="K69" s="12" t="s">
        <v>137</v>
      </c>
      <c r="L69" s="13" t="s">
        <v>381</v>
      </c>
      <c r="M69" s="13" t="s">
        <v>381</v>
      </c>
      <c r="N69" s="14">
        <v>31272</v>
      </c>
      <c r="O69" s="13">
        <v>1</v>
      </c>
      <c r="P69" s="14">
        <v>31272</v>
      </c>
      <c r="Q69" s="45">
        <v>1693</v>
      </c>
      <c r="R69" s="49">
        <v>0</v>
      </c>
      <c r="S69" s="49"/>
      <c r="T69" s="64">
        <f t="shared" si="2"/>
        <v>0</v>
      </c>
      <c r="U69" s="64"/>
    </row>
    <row r="70" spans="1:21" s="32" customFormat="1" ht="60" x14ac:dyDescent="0.2">
      <c r="A70" s="11" t="s">
        <v>470</v>
      </c>
      <c r="B70" s="12" t="s">
        <v>23</v>
      </c>
      <c r="C70" s="12">
        <v>54100</v>
      </c>
      <c r="D70" s="12" t="s">
        <v>24</v>
      </c>
      <c r="E70" s="12" t="s">
        <v>25</v>
      </c>
      <c r="F70" s="13" t="s">
        <v>376</v>
      </c>
      <c r="G70" s="12" t="s">
        <v>30</v>
      </c>
      <c r="H70" s="12" t="s">
        <v>31</v>
      </c>
      <c r="I70" s="12" t="s">
        <v>22</v>
      </c>
      <c r="J70" s="12">
        <v>3.1</v>
      </c>
      <c r="K70" s="12" t="s">
        <v>32</v>
      </c>
      <c r="L70" s="13" t="s">
        <v>381</v>
      </c>
      <c r="M70" s="13" t="s">
        <v>381</v>
      </c>
      <c r="N70" s="14">
        <v>2200</v>
      </c>
      <c r="O70" s="13">
        <v>1</v>
      </c>
      <c r="P70" s="14">
        <v>2200</v>
      </c>
      <c r="Q70" s="45">
        <v>1721</v>
      </c>
      <c r="R70" s="49"/>
      <c r="S70" s="49"/>
      <c r="T70" s="64">
        <f t="shared" si="2"/>
        <v>0</v>
      </c>
      <c r="U70" s="64"/>
    </row>
    <row r="71" spans="1:21" s="32" customFormat="1" ht="60" x14ac:dyDescent="0.2">
      <c r="A71" s="11" t="s">
        <v>471</v>
      </c>
      <c r="B71" s="12" t="s">
        <v>126</v>
      </c>
      <c r="C71" s="12">
        <v>53550</v>
      </c>
      <c r="D71" s="12" t="s">
        <v>127</v>
      </c>
      <c r="E71" s="12" t="s">
        <v>128</v>
      </c>
      <c r="F71" s="13" t="s">
        <v>376</v>
      </c>
      <c r="G71" s="12" t="s">
        <v>131</v>
      </c>
      <c r="H71" s="12" t="s">
        <v>132</v>
      </c>
      <c r="I71" s="12" t="s">
        <v>22</v>
      </c>
      <c r="J71" s="12"/>
      <c r="K71" s="12" t="s">
        <v>26</v>
      </c>
      <c r="L71" s="13" t="s">
        <v>380</v>
      </c>
      <c r="M71" s="13" t="s">
        <v>381</v>
      </c>
      <c r="N71" s="14">
        <v>9000</v>
      </c>
      <c r="O71" s="13">
        <v>1</v>
      </c>
      <c r="P71" s="14">
        <v>9000</v>
      </c>
      <c r="Q71" s="45">
        <v>1665</v>
      </c>
      <c r="R71" s="49"/>
      <c r="S71" s="49"/>
      <c r="T71" s="64">
        <f t="shared" si="2"/>
        <v>0</v>
      </c>
      <c r="U71" s="64"/>
    </row>
    <row r="72" spans="1:21" s="32" customFormat="1" ht="29.25" customHeight="1" x14ac:dyDescent="0.2">
      <c r="A72" s="82" t="s">
        <v>633</v>
      </c>
      <c r="B72" s="5"/>
      <c r="C72" s="5"/>
      <c r="D72" s="5"/>
      <c r="E72" s="5"/>
      <c r="F72" s="6"/>
      <c r="G72" s="5"/>
      <c r="H72" s="5"/>
      <c r="I72" s="5"/>
      <c r="J72" s="5"/>
      <c r="K72" s="5"/>
      <c r="L72" s="6"/>
      <c r="M72" s="6"/>
      <c r="N72" s="15"/>
      <c r="O72" s="6"/>
      <c r="P72" s="15">
        <f>SUM(P65:P71)</f>
        <v>223506</v>
      </c>
      <c r="Q72" s="67"/>
      <c r="R72" s="53">
        <f>SUM(R65:R69)</f>
        <v>87280</v>
      </c>
      <c r="S72" s="53"/>
      <c r="T72" s="79">
        <f>SUM(T65:T69)</f>
        <v>87280</v>
      </c>
      <c r="U72" s="79"/>
    </row>
    <row r="73" spans="1:21" s="32" customFormat="1" ht="29.25" customHeight="1" x14ac:dyDescent="0.2">
      <c r="A73" s="82" t="s">
        <v>642</v>
      </c>
      <c r="B73" s="5"/>
      <c r="C73" s="5"/>
      <c r="D73" s="5"/>
      <c r="E73" s="5"/>
      <c r="F73" s="6"/>
      <c r="G73" s="5"/>
      <c r="H73" s="5"/>
      <c r="I73" s="5"/>
      <c r="J73" s="5"/>
      <c r="K73" s="5"/>
      <c r="L73" s="6"/>
      <c r="M73" s="6"/>
      <c r="N73" s="15"/>
      <c r="O73" s="6"/>
      <c r="P73" s="15"/>
      <c r="Q73" s="67"/>
      <c r="R73" s="53"/>
      <c r="S73" s="53"/>
      <c r="T73" s="79"/>
      <c r="U73" s="79"/>
    </row>
    <row r="74" spans="1:21" ht="405" x14ac:dyDescent="0.2">
      <c r="A74" s="11" t="s">
        <v>441</v>
      </c>
      <c r="B74" s="12" t="s">
        <v>153</v>
      </c>
      <c r="C74" s="12">
        <v>51310</v>
      </c>
      <c r="D74" s="12" t="s">
        <v>154</v>
      </c>
      <c r="E74" s="12" t="s">
        <v>155</v>
      </c>
      <c r="F74" s="13" t="s">
        <v>378</v>
      </c>
      <c r="G74" s="12" t="s">
        <v>156</v>
      </c>
      <c r="H74" s="12" t="s">
        <v>551</v>
      </c>
      <c r="I74" s="12" t="s">
        <v>8</v>
      </c>
      <c r="J74" s="12" t="s">
        <v>157</v>
      </c>
      <c r="K74" s="12" t="s">
        <v>26</v>
      </c>
      <c r="L74" s="13" t="s">
        <v>380</v>
      </c>
      <c r="M74" s="13" t="s">
        <v>381</v>
      </c>
      <c r="N74" s="14">
        <v>127500</v>
      </c>
      <c r="O74" s="13">
        <v>1</v>
      </c>
      <c r="P74" s="14">
        <v>127500</v>
      </c>
      <c r="Q74" s="45">
        <v>1446</v>
      </c>
      <c r="R74" s="49">
        <v>41592</v>
      </c>
      <c r="S74" s="49"/>
      <c r="T74" s="64">
        <f t="shared" ref="T74:T91" si="3">R74</f>
        <v>41592</v>
      </c>
      <c r="U74" s="64"/>
    </row>
    <row r="75" spans="1:21" ht="121.5" customHeight="1" x14ac:dyDescent="0.2">
      <c r="A75" s="11" t="s">
        <v>442</v>
      </c>
      <c r="B75" s="12" t="s">
        <v>153</v>
      </c>
      <c r="C75" s="12">
        <v>51316</v>
      </c>
      <c r="D75" s="12" t="s">
        <v>154</v>
      </c>
      <c r="E75" s="12" t="s">
        <v>155</v>
      </c>
      <c r="F75" s="13" t="s">
        <v>378</v>
      </c>
      <c r="G75" s="12" t="s">
        <v>158</v>
      </c>
      <c r="H75" s="12" t="s">
        <v>552</v>
      </c>
      <c r="I75" s="12" t="s">
        <v>8</v>
      </c>
      <c r="J75" s="12" t="s">
        <v>157</v>
      </c>
      <c r="K75" s="12" t="s">
        <v>26</v>
      </c>
      <c r="L75" s="13" t="s">
        <v>380</v>
      </c>
      <c r="M75" s="13" t="s">
        <v>381</v>
      </c>
      <c r="N75" s="14">
        <v>45000</v>
      </c>
      <c r="O75" s="13">
        <v>1</v>
      </c>
      <c r="P75" s="14">
        <v>45000</v>
      </c>
      <c r="Q75" s="45">
        <v>1446</v>
      </c>
      <c r="R75" s="49">
        <v>10000</v>
      </c>
      <c r="S75" s="49"/>
      <c r="T75" s="64">
        <f t="shared" si="3"/>
        <v>10000</v>
      </c>
      <c r="U75" s="64"/>
    </row>
    <row r="76" spans="1:21" ht="90" x14ac:dyDescent="0.2">
      <c r="A76" s="11" t="s">
        <v>443</v>
      </c>
      <c r="B76" s="12" t="s">
        <v>153</v>
      </c>
      <c r="C76" s="12">
        <v>51230</v>
      </c>
      <c r="D76" s="12" t="s">
        <v>154</v>
      </c>
      <c r="E76" s="12" t="s">
        <v>155</v>
      </c>
      <c r="F76" s="13" t="s">
        <v>378</v>
      </c>
      <c r="G76" s="12" t="s">
        <v>159</v>
      </c>
      <c r="H76" s="12" t="s">
        <v>553</v>
      </c>
      <c r="I76" s="12" t="s">
        <v>8</v>
      </c>
      <c r="J76" s="12" t="s">
        <v>157</v>
      </c>
      <c r="K76" s="12" t="s">
        <v>26</v>
      </c>
      <c r="L76" s="13" t="s">
        <v>380</v>
      </c>
      <c r="M76" s="13" t="s">
        <v>381</v>
      </c>
      <c r="N76" s="14">
        <v>46528</v>
      </c>
      <c r="O76" s="13">
        <v>1</v>
      </c>
      <c r="P76" s="14">
        <v>46528</v>
      </c>
      <c r="Q76" s="45">
        <v>1448</v>
      </c>
      <c r="R76" s="49">
        <v>46528</v>
      </c>
      <c r="S76" s="49"/>
      <c r="T76" s="64">
        <f t="shared" si="3"/>
        <v>46528</v>
      </c>
      <c r="U76" s="64"/>
    </row>
    <row r="77" spans="1:21" ht="409" x14ac:dyDescent="0.2">
      <c r="A77" s="11" t="s">
        <v>472</v>
      </c>
      <c r="B77" s="12" t="s">
        <v>171</v>
      </c>
      <c r="C77" s="12">
        <v>53120</v>
      </c>
      <c r="D77" s="12" t="s">
        <v>172</v>
      </c>
      <c r="E77" s="12" t="s">
        <v>173</v>
      </c>
      <c r="F77" s="13" t="s">
        <v>378</v>
      </c>
      <c r="G77" s="12" t="s">
        <v>178</v>
      </c>
      <c r="H77" s="12" t="s">
        <v>179</v>
      </c>
      <c r="I77" s="12" t="s">
        <v>22</v>
      </c>
      <c r="J77" s="12">
        <v>4.3</v>
      </c>
      <c r="K77" s="12" t="s">
        <v>144</v>
      </c>
      <c r="L77" s="13" t="s">
        <v>381</v>
      </c>
      <c r="M77" s="13" t="s">
        <v>380</v>
      </c>
      <c r="N77" s="14">
        <v>75000</v>
      </c>
      <c r="O77" s="13">
        <v>1</v>
      </c>
      <c r="P77" s="14">
        <v>75000</v>
      </c>
      <c r="Q77" s="45">
        <v>1702</v>
      </c>
      <c r="R77" s="49"/>
      <c r="S77" s="55" t="s">
        <v>637</v>
      </c>
      <c r="T77" s="64">
        <f t="shared" si="3"/>
        <v>0</v>
      </c>
      <c r="U77" s="64"/>
    </row>
    <row r="78" spans="1:21" s="32" customFormat="1" ht="27" customHeight="1" x14ac:dyDescent="0.2">
      <c r="A78" s="380" t="s">
        <v>644</v>
      </c>
      <c r="B78" s="381"/>
      <c r="C78" s="381"/>
      <c r="D78" s="381"/>
      <c r="E78" s="381"/>
      <c r="F78" s="381"/>
      <c r="G78" s="381"/>
      <c r="H78" s="382"/>
      <c r="I78" s="12"/>
      <c r="J78" s="12"/>
      <c r="K78" s="12"/>
      <c r="L78" s="13"/>
      <c r="M78" s="13"/>
      <c r="N78" s="14"/>
      <c r="O78" s="13"/>
      <c r="P78" s="15">
        <f>SUM(P74:P77)</f>
        <v>294028</v>
      </c>
      <c r="Q78" s="45"/>
      <c r="R78" s="53">
        <f>SUM(R74:R77)</f>
        <v>98120</v>
      </c>
      <c r="S78" s="49"/>
      <c r="T78" s="79">
        <f t="shared" si="3"/>
        <v>98120</v>
      </c>
      <c r="U78" s="79"/>
    </row>
    <row r="79" spans="1:21" s="32" customFormat="1" ht="27" customHeight="1" x14ac:dyDescent="0.2">
      <c r="A79" s="380" t="s">
        <v>646</v>
      </c>
      <c r="B79" s="381"/>
      <c r="C79" s="381"/>
      <c r="D79" s="381"/>
      <c r="E79" s="381"/>
      <c r="F79" s="381"/>
      <c r="G79" s="381"/>
      <c r="H79" s="382"/>
      <c r="I79" s="12"/>
      <c r="J79" s="12"/>
      <c r="K79" s="12"/>
      <c r="L79" s="13"/>
      <c r="M79" s="13"/>
      <c r="N79" s="14"/>
      <c r="O79" s="13"/>
      <c r="P79" s="15"/>
      <c r="Q79" s="45"/>
      <c r="R79" s="53"/>
      <c r="S79" s="49"/>
      <c r="T79" s="79">
        <f t="shared" si="3"/>
        <v>0</v>
      </c>
      <c r="U79" s="79"/>
    </row>
    <row r="80" spans="1:21" ht="409" x14ac:dyDescent="0.2">
      <c r="A80" s="11" t="s">
        <v>444</v>
      </c>
      <c r="B80" s="12" t="s">
        <v>347</v>
      </c>
      <c r="C80" s="12">
        <v>51310</v>
      </c>
      <c r="D80" s="12" t="s">
        <v>348</v>
      </c>
      <c r="E80" s="12" t="s">
        <v>349</v>
      </c>
      <c r="F80" s="13" t="s">
        <v>379</v>
      </c>
      <c r="G80" s="12" t="s">
        <v>351</v>
      </c>
      <c r="H80" s="12" t="s">
        <v>554</v>
      </c>
      <c r="I80" s="12" t="s">
        <v>8</v>
      </c>
      <c r="J80" s="12">
        <v>4.4000000000000004</v>
      </c>
      <c r="K80" s="12" t="s">
        <v>29</v>
      </c>
      <c r="L80" s="13" t="s">
        <v>380</v>
      </c>
      <c r="M80" s="13" t="s">
        <v>380</v>
      </c>
      <c r="N80" s="14">
        <v>10000</v>
      </c>
      <c r="O80" s="13">
        <v>1</v>
      </c>
      <c r="P80" s="14">
        <v>10000</v>
      </c>
      <c r="Q80" s="45">
        <v>1605</v>
      </c>
      <c r="R80" s="49">
        <v>10000</v>
      </c>
      <c r="S80" s="49"/>
      <c r="T80" s="64">
        <f t="shared" si="3"/>
        <v>10000</v>
      </c>
      <c r="U80" s="64"/>
    </row>
    <row r="81" spans="1:21" ht="302.25" customHeight="1" x14ac:dyDescent="0.2">
      <c r="A81" s="11" t="s">
        <v>445</v>
      </c>
      <c r="B81" s="12" t="s">
        <v>347</v>
      </c>
      <c r="C81" s="12">
        <v>51310</v>
      </c>
      <c r="D81" s="12" t="s">
        <v>348</v>
      </c>
      <c r="E81" s="12" t="s">
        <v>349</v>
      </c>
      <c r="F81" s="13" t="s">
        <v>379</v>
      </c>
      <c r="G81" s="12" t="s">
        <v>352</v>
      </c>
      <c r="H81" s="12" t="s">
        <v>555</v>
      </c>
      <c r="I81" s="12" t="s">
        <v>8</v>
      </c>
      <c r="J81" s="12">
        <v>4.4000000000000004</v>
      </c>
      <c r="K81" s="12" t="s">
        <v>26</v>
      </c>
      <c r="L81" s="13" t="s">
        <v>380</v>
      </c>
      <c r="M81" s="13" t="s">
        <v>380</v>
      </c>
      <c r="N81" s="14">
        <v>18540</v>
      </c>
      <c r="O81" s="13">
        <v>1</v>
      </c>
      <c r="P81" s="14">
        <v>18540</v>
      </c>
      <c r="Q81" s="45">
        <v>1605</v>
      </c>
      <c r="R81" s="49"/>
      <c r="S81" s="50" t="s">
        <v>637</v>
      </c>
      <c r="T81" s="64">
        <f t="shared" si="3"/>
        <v>0</v>
      </c>
      <c r="U81" s="64"/>
    </row>
    <row r="82" spans="1:21" ht="75" x14ac:dyDescent="0.2">
      <c r="A82" s="11" t="s">
        <v>447</v>
      </c>
      <c r="B82" s="12" t="s">
        <v>347</v>
      </c>
      <c r="C82" s="12">
        <v>51114</v>
      </c>
      <c r="D82" s="12" t="s">
        <v>348</v>
      </c>
      <c r="E82" s="12" t="s">
        <v>349</v>
      </c>
      <c r="F82" s="13" t="s">
        <v>379</v>
      </c>
      <c r="G82" s="12" t="s">
        <v>355</v>
      </c>
      <c r="H82" s="12" t="s">
        <v>356</v>
      </c>
      <c r="I82" s="12" t="s">
        <v>8</v>
      </c>
      <c r="J82" s="12">
        <v>4.4000000000000004</v>
      </c>
      <c r="K82" s="12" t="s">
        <v>26</v>
      </c>
      <c r="L82" s="13" t="s">
        <v>380</v>
      </c>
      <c r="M82" s="13" t="s">
        <v>380</v>
      </c>
      <c r="N82" s="14">
        <v>250</v>
      </c>
      <c r="O82" s="13">
        <v>2</v>
      </c>
      <c r="P82" s="14">
        <v>500</v>
      </c>
      <c r="Q82" s="45">
        <v>1634</v>
      </c>
      <c r="R82" s="49">
        <v>500</v>
      </c>
      <c r="S82" s="49"/>
      <c r="T82" s="64">
        <f t="shared" si="3"/>
        <v>500</v>
      </c>
      <c r="U82" s="64"/>
    </row>
    <row r="83" spans="1:21" ht="60" x14ac:dyDescent="0.2">
      <c r="A83" s="11" t="s">
        <v>449</v>
      </c>
      <c r="B83" s="12" t="s">
        <v>347</v>
      </c>
      <c r="C83" s="12">
        <v>59835</v>
      </c>
      <c r="D83" s="12" t="s">
        <v>348</v>
      </c>
      <c r="E83" s="12" t="s">
        <v>349</v>
      </c>
      <c r="F83" s="13" t="s">
        <v>379</v>
      </c>
      <c r="G83" s="12" t="s">
        <v>365</v>
      </c>
      <c r="H83" s="12" t="s">
        <v>366</v>
      </c>
      <c r="I83" s="12" t="s">
        <v>8</v>
      </c>
      <c r="J83" s="12">
        <v>4.4000000000000004</v>
      </c>
      <c r="K83" s="12" t="s">
        <v>26</v>
      </c>
      <c r="L83" s="13" t="s">
        <v>380</v>
      </c>
      <c r="M83" s="13" t="s">
        <v>380</v>
      </c>
      <c r="N83" s="14">
        <v>250</v>
      </c>
      <c r="O83" s="13">
        <v>2</v>
      </c>
      <c r="P83" s="14">
        <v>500</v>
      </c>
      <c r="Q83" s="45">
        <v>1635</v>
      </c>
      <c r="R83" s="49">
        <v>500</v>
      </c>
      <c r="S83" s="49"/>
      <c r="T83" s="64">
        <f t="shared" si="3"/>
        <v>500</v>
      </c>
      <c r="U83" s="64"/>
    </row>
    <row r="84" spans="1:21" ht="75" x14ac:dyDescent="0.2">
      <c r="A84" s="11" t="s">
        <v>473</v>
      </c>
      <c r="B84" s="12" t="s">
        <v>301</v>
      </c>
      <c r="C84" s="12">
        <v>53210</v>
      </c>
      <c r="D84" s="12" t="s">
        <v>302</v>
      </c>
      <c r="E84" s="12" t="s">
        <v>303</v>
      </c>
      <c r="F84" s="13" t="s">
        <v>379</v>
      </c>
      <c r="G84" s="12" t="s">
        <v>304</v>
      </c>
      <c r="H84" s="12" t="s">
        <v>304</v>
      </c>
      <c r="I84" s="12" t="s">
        <v>22</v>
      </c>
      <c r="J84" s="12"/>
      <c r="K84" s="12" t="s">
        <v>9</v>
      </c>
      <c r="L84" s="13" t="s">
        <v>381</v>
      </c>
      <c r="M84" s="13" t="s">
        <v>381</v>
      </c>
      <c r="N84" s="14">
        <v>10000</v>
      </c>
      <c r="O84" s="13">
        <v>1</v>
      </c>
      <c r="P84" s="14">
        <v>10000</v>
      </c>
      <c r="Q84" s="45">
        <v>1398</v>
      </c>
      <c r="R84" s="49">
        <v>10000</v>
      </c>
      <c r="S84" s="49"/>
      <c r="T84" s="64">
        <f t="shared" si="3"/>
        <v>10000</v>
      </c>
      <c r="U84" s="64"/>
    </row>
    <row r="85" spans="1:21" ht="60" x14ac:dyDescent="0.2">
      <c r="A85" s="11" t="s">
        <v>474</v>
      </c>
      <c r="B85" s="12" t="s">
        <v>301</v>
      </c>
      <c r="C85" s="12">
        <v>53550</v>
      </c>
      <c r="D85" s="12" t="s">
        <v>302</v>
      </c>
      <c r="E85" s="12" t="s">
        <v>303</v>
      </c>
      <c r="F85" s="13" t="s">
        <v>379</v>
      </c>
      <c r="G85" s="12" t="s">
        <v>305</v>
      </c>
      <c r="H85" s="12" t="s">
        <v>306</v>
      </c>
      <c r="I85" s="12" t="s">
        <v>22</v>
      </c>
      <c r="J85" s="12"/>
      <c r="K85" s="12" t="s">
        <v>81</v>
      </c>
      <c r="L85" s="13" t="s">
        <v>381</v>
      </c>
      <c r="M85" s="13" t="s">
        <v>381</v>
      </c>
      <c r="N85" s="14">
        <v>20000</v>
      </c>
      <c r="O85" s="13">
        <v>1</v>
      </c>
      <c r="P85" s="14">
        <v>20000</v>
      </c>
      <c r="Q85" s="45">
        <v>1733</v>
      </c>
      <c r="R85" s="49">
        <v>10855</v>
      </c>
      <c r="S85" s="49"/>
      <c r="T85" s="64">
        <f t="shared" si="3"/>
        <v>10855</v>
      </c>
      <c r="U85" s="64"/>
    </row>
    <row r="86" spans="1:21" ht="90" x14ac:dyDescent="0.2">
      <c r="A86" s="11" t="s">
        <v>446</v>
      </c>
      <c r="B86" s="12" t="s">
        <v>347</v>
      </c>
      <c r="C86" s="12">
        <v>53210</v>
      </c>
      <c r="D86" s="12" t="s">
        <v>348</v>
      </c>
      <c r="E86" s="12" t="s">
        <v>349</v>
      </c>
      <c r="F86" s="13" t="s">
        <v>379</v>
      </c>
      <c r="G86" s="12" t="s">
        <v>353</v>
      </c>
      <c r="H86" s="12" t="s">
        <v>354</v>
      </c>
      <c r="I86" s="12" t="s">
        <v>22</v>
      </c>
      <c r="J86" s="12">
        <v>4.4000000000000004</v>
      </c>
      <c r="K86" s="12" t="s">
        <v>26</v>
      </c>
      <c r="L86" s="13" t="s">
        <v>381</v>
      </c>
      <c r="M86" s="13" t="s">
        <v>380</v>
      </c>
      <c r="N86" s="14">
        <v>5000</v>
      </c>
      <c r="O86" s="13">
        <v>1</v>
      </c>
      <c r="P86" s="14">
        <v>5000</v>
      </c>
      <c r="Q86" s="45">
        <v>1618</v>
      </c>
      <c r="R86" s="49">
        <v>0</v>
      </c>
      <c r="S86" s="49"/>
      <c r="T86" s="64">
        <f t="shared" si="3"/>
        <v>0</v>
      </c>
      <c r="U86" s="64"/>
    </row>
    <row r="87" spans="1:21" ht="90" x14ac:dyDescent="0.2">
      <c r="A87" s="11" t="s">
        <v>448</v>
      </c>
      <c r="B87" s="12" t="s">
        <v>347</v>
      </c>
      <c r="C87" s="12">
        <v>56520</v>
      </c>
      <c r="D87" s="12" t="s">
        <v>348</v>
      </c>
      <c r="E87" s="12" t="s">
        <v>349</v>
      </c>
      <c r="F87" s="13" t="s">
        <v>379</v>
      </c>
      <c r="G87" s="12" t="s">
        <v>363</v>
      </c>
      <c r="H87" s="12" t="s">
        <v>364</v>
      </c>
      <c r="I87" s="12" t="s">
        <v>22</v>
      </c>
      <c r="J87" s="12">
        <v>4.4000000000000004</v>
      </c>
      <c r="K87" s="12" t="s">
        <v>26</v>
      </c>
      <c r="L87" s="13" t="s">
        <v>380</v>
      </c>
      <c r="M87" s="13" t="s">
        <v>380</v>
      </c>
      <c r="N87" s="14">
        <v>2500</v>
      </c>
      <c r="O87" s="13">
        <v>1</v>
      </c>
      <c r="P87" s="14">
        <v>2500</v>
      </c>
      <c r="Q87" s="45">
        <v>1605</v>
      </c>
      <c r="R87" s="49">
        <v>2500</v>
      </c>
      <c r="S87" s="49"/>
      <c r="T87" s="64">
        <f t="shared" si="3"/>
        <v>2500</v>
      </c>
      <c r="U87" s="64"/>
    </row>
    <row r="88" spans="1:21" ht="62.25" customHeight="1" x14ac:dyDescent="0.2">
      <c r="A88" s="11" t="s">
        <v>475</v>
      </c>
      <c r="B88" s="12" t="s">
        <v>347</v>
      </c>
      <c r="C88" s="12">
        <v>53550</v>
      </c>
      <c r="D88" s="12" t="s">
        <v>348</v>
      </c>
      <c r="E88" s="12" t="s">
        <v>349</v>
      </c>
      <c r="F88" s="13" t="s">
        <v>379</v>
      </c>
      <c r="G88" s="12" t="s">
        <v>350</v>
      </c>
      <c r="H88" s="12" t="s">
        <v>556</v>
      </c>
      <c r="I88" s="12" t="s">
        <v>22</v>
      </c>
      <c r="J88" s="12">
        <v>4.4000000000000004</v>
      </c>
      <c r="K88" s="12" t="s">
        <v>32</v>
      </c>
      <c r="L88" s="13" t="s">
        <v>380</v>
      </c>
      <c r="M88" s="13" t="s">
        <v>380</v>
      </c>
      <c r="N88" s="14">
        <v>30000</v>
      </c>
      <c r="O88" s="13">
        <v>1</v>
      </c>
      <c r="P88" s="14">
        <v>30000</v>
      </c>
      <c r="Q88" s="45">
        <v>1605</v>
      </c>
      <c r="R88" s="49">
        <v>30000</v>
      </c>
      <c r="S88" s="49"/>
      <c r="T88" s="64">
        <f t="shared" si="3"/>
        <v>30000</v>
      </c>
      <c r="U88" s="64"/>
    </row>
    <row r="89" spans="1:21" ht="60" x14ac:dyDescent="0.2">
      <c r="A89" s="11" t="s">
        <v>476</v>
      </c>
      <c r="B89" s="12" t="s">
        <v>347</v>
      </c>
      <c r="C89" s="12">
        <v>53300</v>
      </c>
      <c r="D89" s="12" t="s">
        <v>348</v>
      </c>
      <c r="E89" s="12" t="s">
        <v>349</v>
      </c>
      <c r="F89" s="13" t="s">
        <v>379</v>
      </c>
      <c r="G89" s="12" t="s">
        <v>357</v>
      </c>
      <c r="H89" s="12" t="s">
        <v>358</v>
      </c>
      <c r="I89" s="12" t="s">
        <v>22</v>
      </c>
      <c r="J89" s="12">
        <v>4.4000000000000004</v>
      </c>
      <c r="K89" s="12" t="s">
        <v>26</v>
      </c>
      <c r="L89" s="13" t="s">
        <v>380</v>
      </c>
      <c r="M89" s="13" t="s">
        <v>380</v>
      </c>
      <c r="N89" s="14">
        <v>500</v>
      </c>
      <c r="O89" s="13">
        <v>10</v>
      </c>
      <c r="P89" s="14">
        <v>5000</v>
      </c>
      <c r="Q89" s="45">
        <v>1634</v>
      </c>
      <c r="R89" s="49">
        <v>1000</v>
      </c>
      <c r="S89" s="49"/>
      <c r="T89" s="64">
        <f t="shared" si="3"/>
        <v>1000</v>
      </c>
      <c r="U89" s="64"/>
    </row>
    <row r="90" spans="1:21" ht="75" x14ac:dyDescent="0.2">
      <c r="A90" s="11" t="s">
        <v>477</v>
      </c>
      <c r="B90" s="12" t="s">
        <v>347</v>
      </c>
      <c r="C90" s="12">
        <v>55400</v>
      </c>
      <c r="D90" s="12" t="s">
        <v>348</v>
      </c>
      <c r="E90" s="12" t="s">
        <v>349</v>
      </c>
      <c r="F90" s="13" t="s">
        <v>379</v>
      </c>
      <c r="G90" s="12" t="s">
        <v>359</v>
      </c>
      <c r="H90" s="12" t="s">
        <v>360</v>
      </c>
      <c r="I90" s="12" t="s">
        <v>22</v>
      </c>
      <c r="J90" s="12"/>
      <c r="K90" s="12" t="s">
        <v>26</v>
      </c>
      <c r="L90" s="13" t="s">
        <v>380</v>
      </c>
      <c r="M90" s="13" t="s">
        <v>380</v>
      </c>
      <c r="N90" s="14">
        <v>100</v>
      </c>
      <c r="O90" s="13">
        <v>5</v>
      </c>
      <c r="P90" s="14">
        <v>500</v>
      </c>
      <c r="Q90" s="45">
        <v>1629</v>
      </c>
      <c r="R90" s="49"/>
      <c r="S90" s="50" t="s">
        <v>645</v>
      </c>
      <c r="T90" s="64">
        <f t="shared" si="3"/>
        <v>0</v>
      </c>
      <c r="U90" s="64"/>
    </row>
    <row r="91" spans="1:21" ht="60" x14ac:dyDescent="0.2">
      <c r="A91" s="11" t="s">
        <v>478</v>
      </c>
      <c r="B91" s="12" t="s">
        <v>347</v>
      </c>
      <c r="C91" s="12">
        <v>56120</v>
      </c>
      <c r="D91" s="12" t="s">
        <v>348</v>
      </c>
      <c r="E91" s="12" t="s">
        <v>349</v>
      </c>
      <c r="F91" s="13" t="s">
        <v>379</v>
      </c>
      <c r="G91" s="12" t="s">
        <v>361</v>
      </c>
      <c r="H91" s="12" t="s">
        <v>362</v>
      </c>
      <c r="I91" s="12" t="s">
        <v>22</v>
      </c>
      <c r="J91" s="12">
        <v>4.4000000000000004</v>
      </c>
      <c r="K91" s="12" t="s">
        <v>26</v>
      </c>
      <c r="L91" s="13" t="s">
        <v>380</v>
      </c>
      <c r="M91" s="13" t="s">
        <v>380</v>
      </c>
      <c r="N91" s="14">
        <v>1000</v>
      </c>
      <c r="O91" s="13">
        <v>2</v>
      </c>
      <c r="P91" s="14">
        <v>2000</v>
      </c>
      <c r="Q91" s="45">
        <v>1611</v>
      </c>
      <c r="R91" s="49"/>
      <c r="S91" s="50" t="s">
        <v>645</v>
      </c>
      <c r="T91" s="64">
        <f t="shared" si="3"/>
        <v>0</v>
      </c>
      <c r="U91" s="64"/>
    </row>
    <row r="92" spans="1:21" s="32" customFormat="1" ht="25.5" customHeight="1" x14ac:dyDescent="0.2">
      <c r="A92" s="380" t="s">
        <v>647</v>
      </c>
      <c r="B92" s="381"/>
      <c r="C92" s="381"/>
      <c r="D92" s="381"/>
      <c r="E92" s="381"/>
      <c r="F92" s="381"/>
      <c r="G92" s="381"/>
      <c r="H92" s="382"/>
      <c r="I92" s="45"/>
      <c r="J92" s="28"/>
      <c r="K92" s="28"/>
      <c r="L92" s="84"/>
      <c r="M92" s="13"/>
      <c r="N92" s="14"/>
      <c r="O92" s="13"/>
      <c r="P92" s="15">
        <f>SUM(P80:P91)</f>
        <v>104540</v>
      </c>
      <c r="Q92" s="45"/>
      <c r="R92" s="53">
        <f>SUM(R80:R91)</f>
        <v>65355</v>
      </c>
      <c r="S92" s="50"/>
      <c r="T92" s="79">
        <f>SUM(T80:T91)</f>
        <v>65355</v>
      </c>
      <c r="U92" s="64"/>
    </row>
    <row r="93" spans="1:21" s="4" customFormat="1" ht="35.25" customHeight="1" x14ac:dyDescent="0.2">
      <c r="A93" s="383" t="s">
        <v>675</v>
      </c>
      <c r="B93" s="384"/>
      <c r="C93" s="384"/>
      <c r="D93" s="384"/>
      <c r="E93" s="384"/>
      <c r="F93" s="384"/>
      <c r="G93" s="384"/>
      <c r="H93" s="384"/>
      <c r="I93" s="384"/>
      <c r="J93" s="384"/>
      <c r="K93" s="384"/>
      <c r="L93" s="385"/>
      <c r="M93" s="361"/>
      <c r="N93" s="362"/>
      <c r="O93" s="361"/>
      <c r="P93" s="362">
        <f>P92+P78+P72+P62+P101+P113+P184+P177+P42</f>
        <v>2815710</v>
      </c>
      <c r="Q93" s="363"/>
      <c r="R93" s="362">
        <f>R92+R78+R72+R62+R42</f>
        <v>1000000</v>
      </c>
      <c r="S93" s="135"/>
      <c r="T93" s="362">
        <f>T92+T78+T72+T62+T42</f>
        <v>1000000</v>
      </c>
      <c r="U93" s="136"/>
    </row>
    <row r="94" spans="1:21" s="32" customFormat="1" ht="35.25" customHeight="1" x14ac:dyDescent="0.2">
      <c r="A94" s="85"/>
      <c r="B94" s="86"/>
      <c r="C94" s="86"/>
      <c r="D94" s="86"/>
      <c r="E94" s="86"/>
      <c r="F94" s="86"/>
      <c r="G94" s="86"/>
      <c r="H94" s="86"/>
      <c r="I94" s="86"/>
      <c r="J94" s="86"/>
      <c r="K94" s="86"/>
      <c r="L94" s="87"/>
      <c r="M94" s="88"/>
      <c r="N94" s="89"/>
      <c r="O94" s="88"/>
      <c r="P94" s="89"/>
      <c r="Q94" s="90"/>
      <c r="R94" s="89"/>
      <c r="S94" s="83"/>
      <c r="T94" s="77"/>
      <c r="U94" s="77"/>
    </row>
    <row r="95" spans="1:21" s="32" customFormat="1" ht="36.75" customHeight="1" x14ac:dyDescent="0.2">
      <c r="A95" s="18" t="s">
        <v>823</v>
      </c>
      <c r="B95" s="19"/>
      <c r="C95" s="19"/>
      <c r="D95" s="19"/>
      <c r="E95" s="19"/>
      <c r="F95" s="19"/>
      <c r="G95" s="19"/>
      <c r="H95" s="20"/>
      <c r="I95" s="17"/>
      <c r="J95" s="17"/>
      <c r="K95" s="17"/>
      <c r="L95" s="17"/>
      <c r="M95" s="17"/>
      <c r="N95" s="76"/>
      <c r="O95" s="17"/>
      <c r="P95" s="80"/>
      <c r="Q95" s="78"/>
      <c r="R95" s="53"/>
      <c r="S95" s="56"/>
      <c r="T95" s="79"/>
      <c r="U95" s="79"/>
    </row>
    <row r="96" spans="1:21" ht="240" x14ac:dyDescent="0.2">
      <c r="A96" s="11" t="s">
        <v>411</v>
      </c>
      <c r="B96" s="12" t="s">
        <v>100</v>
      </c>
      <c r="C96" s="12">
        <v>51310</v>
      </c>
      <c r="D96" s="12" t="s">
        <v>101</v>
      </c>
      <c r="E96" s="12" t="s">
        <v>102</v>
      </c>
      <c r="F96" s="13" t="s">
        <v>375</v>
      </c>
      <c r="G96" s="12" t="s">
        <v>103</v>
      </c>
      <c r="H96" s="12" t="s">
        <v>104</v>
      </c>
      <c r="I96" s="12" t="s">
        <v>8</v>
      </c>
      <c r="J96" s="12"/>
      <c r="K96" s="12" t="s">
        <v>29</v>
      </c>
      <c r="L96" s="13" t="s">
        <v>380</v>
      </c>
      <c r="M96" s="13" t="s">
        <v>381</v>
      </c>
      <c r="N96" s="14">
        <v>11000</v>
      </c>
      <c r="O96" s="13">
        <v>1</v>
      </c>
      <c r="P96" s="14">
        <v>11000</v>
      </c>
      <c r="Q96" s="45">
        <v>1491</v>
      </c>
      <c r="R96" s="49">
        <v>9600</v>
      </c>
      <c r="S96" s="70"/>
      <c r="T96" s="64">
        <f t="shared" ref="T96:T100" si="4">R96</f>
        <v>9600</v>
      </c>
      <c r="U96" s="64"/>
    </row>
    <row r="97" spans="1:21" ht="195" x14ac:dyDescent="0.2">
      <c r="A97" s="11" t="s">
        <v>461</v>
      </c>
      <c r="B97" s="12" t="s">
        <v>100</v>
      </c>
      <c r="C97" s="12">
        <v>54100</v>
      </c>
      <c r="D97" s="12" t="s">
        <v>101</v>
      </c>
      <c r="E97" s="12" t="s">
        <v>102</v>
      </c>
      <c r="F97" s="13" t="s">
        <v>375</v>
      </c>
      <c r="G97" s="12" t="s">
        <v>105</v>
      </c>
      <c r="H97" s="12" t="s">
        <v>106</v>
      </c>
      <c r="I97" s="12" t="s">
        <v>22</v>
      </c>
      <c r="J97" s="12">
        <v>2.1</v>
      </c>
      <c r="K97" s="12" t="s">
        <v>26</v>
      </c>
      <c r="L97" s="13" t="s">
        <v>381</v>
      </c>
      <c r="M97" s="13" t="s">
        <v>380</v>
      </c>
      <c r="N97" s="14">
        <v>20000</v>
      </c>
      <c r="O97" s="13">
        <v>1</v>
      </c>
      <c r="P97" s="14">
        <v>20000</v>
      </c>
      <c r="Q97" s="45">
        <v>1736</v>
      </c>
      <c r="R97" s="49">
        <v>5000</v>
      </c>
      <c r="S97" s="59"/>
      <c r="T97" s="64">
        <f t="shared" si="4"/>
        <v>5000</v>
      </c>
      <c r="U97" s="64"/>
    </row>
    <row r="98" spans="1:21" ht="137.25" customHeight="1" x14ac:dyDescent="0.2">
      <c r="A98" s="11" t="s">
        <v>420</v>
      </c>
      <c r="B98" s="12" t="s">
        <v>33</v>
      </c>
      <c r="C98" s="12">
        <v>51310</v>
      </c>
      <c r="D98" s="12" t="s">
        <v>34</v>
      </c>
      <c r="E98" s="12" t="s">
        <v>35</v>
      </c>
      <c r="F98" s="13" t="s">
        <v>375</v>
      </c>
      <c r="G98" s="12" t="s">
        <v>40</v>
      </c>
      <c r="H98" s="12" t="s">
        <v>626</v>
      </c>
      <c r="I98" s="12" t="s">
        <v>8</v>
      </c>
      <c r="J98" s="12">
        <v>2.1</v>
      </c>
      <c r="K98" s="12" t="s">
        <v>32</v>
      </c>
      <c r="L98" s="13" t="s">
        <v>381</v>
      </c>
      <c r="M98" s="13" t="s">
        <v>381</v>
      </c>
      <c r="N98" s="14">
        <v>16000</v>
      </c>
      <c r="O98" s="13">
        <v>1</v>
      </c>
      <c r="P98" s="14">
        <v>16000</v>
      </c>
      <c r="Q98" s="45">
        <v>1725</v>
      </c>
      <c r="R98" s="49">
        <v>16000</v>
      </c>
      <c r="S98" s="70"/>
      <c r="T98" s="64">
        <f t="shared" si="4"/>
        <v>16000</v>
      </c>
      <c r="U98" s="64"/>
    </row>
    <row r="99" spans="1:21" ht="225" x14ac:dyDescent="0.2">
      <c r="A99" s="11" t="s">
        <v>465</v>
      </c>
      <c r="B99" s="12" t="s">
        <v>33</v>
      </c>
      <c r="C99" s="12">
        <v>54100</v>
      </c>
      <c r="D99" s="12" t="s">
        <v>34</v>
      </c>
      <c r="E99" s="12" t="s">
        <v>35</v>
      </c>
      <c r="F99" s="13" t="s">
        <v>375</v>
      </c>
      <c r="G99" s="12" t="s">
        <v>46</v>
      </c>
      <c r="H99" s="12" t="s">
        <v>47</v>
      </c>
      <c r="I99" s="12" t="s">
        <v>22</v>
      </c>
      <c r="J99" s="12">
        <v>2.1</v>
      </c>
      <c r="K99" s="12" t="s">
        <v>26</v>
      </c>
      <c r="L99" s="13" t="s">
        <v>381</v>
      </c>
      <c r="M99" s="13" t="s">
        <v>381</v>
      </c>
      <c r="N99" s="14">
        <v>10000</v>
      </c>
      <c r="O99" s="13">
        <v>1</v>
      </c>
      <c r="P99" s="14">
        <v>10000</v>
      </c>
      <c r="Q99" s="45">
        <v>1727</v>
      </c>
      <c r="R99" s="49">
        <v>10000</v>
      </c>
      <c r="S99" s="59"/>
      <c r="T99" s="64">
        <f t="shared" si="4"/>
        <v>10000</v>
      </c>
      <c r="U99" s="64"/>
    </row>
    <row r="100" spans="1:21" ht="180" x14ac:dyDescent="0.2">
      <c r="A100" s="11" t="s">
        <v>398</v>
      </c>
      <c r="B100" s="12" t="s">
        <v>48</v>
      </c>
      <c r="C100" s="12">
        <v>51310</v>
      </c>
      <c r="D100" s="12" t="s">
        <v>49</v>
      </c>
      <c r="E100" s="12" t="s">
        <v>50</v>
      </c>
      <c r="F100" s="13" t="s">
        <v>375</v>
      </c>
      <c r="G100" s="12" t="s">
        <v>59</v>
      </c>
      <c r="H100" s="12" t="s">
        <v>60</v>
      </c>
      <c r="I100" s="12" t="s">
        <v>8</v>
      </c>
      <c r="J100" s="12"/>
      <c r="K100" s="12" t="s">
        <v>29</v>
      </c>
      <c r="L100" s="13" t="s">
        <v>381</v>
      </c>
      <c r="M100" s="13" t="s">
        <v>381</v>
      </c>
      <c r="N100" s="14">
        <v>10102</v>
      </c>
      <c r="O100" s="13">
        <v>1</v>
      </c>
      <c r="P100" s="14">
        <v>10102</v>
      </c>
      <c r="Q100" s="45">
        <v>1599</v>
      </c>
      <c r="R100" s="49">
        <v>0</v>
      </c>
      <c r="S100" s="70"/>
      <c r="T100" s="64">
        <f t="shared" si="4"/>
        <v>0</v>
      </c>
      <c r="U100" s="64"/>
    </row>
    <row r="101" spans="1:21" s="32" customFormat="1" ht="36.75" customHeight="1" x14ac:dyDescent="0.2">
      <c r="A101" s="411" t="s">
        <v>629</v>
      </c>
      <c r="B101" s="412"/>
      <c r="C101" s="412"/>
      <c r="D101" s="412"/>
      <c r="E101" s="412"/>
      <c r="F101" s="412"/>
      <c r="G101" s="412"/>
      <c r="H101" s="413"/>
      <c r="I101" s="95"/>
      <c r="J101" s="95"/>
      <c r="K101" s="95"/>
      <c r="L101" s="96"/>
      <c r="M101" s="96"/>
      <c r="N101" s="97"/>
      <c r="O101" s="96"/>
      <c r="P101" s="98">
        <f>SUM(P96:P100)</f>
        <v>67102</v>
      </c>
      <c r="Q101" s="99"/>
      <c r="R101" s="100">
        <f>SUM(R96:R100)</f>
        <v>40600</v>
      </c>
      <c r="S101" s="101"/>
      <c r="T101" s="102">
        <f>SUM(T96:T100)</f>
        <v>40600</v>
      </c>
      <c r="U101" s="102"/>
    </row>
    <row r="102" spans="1:21" s="32" customFormat="1" ht="36.75" customHeight="1" x14ac:dyDescent="0.2">
      <c r="A102" s="18"/>
      <c r="B102" s="19"/>
      <c r="C102" s="19"/>
      <c r="D102" s="19"/>
      <c r="E102" s="19"/>
      <c r="F102" s="19"/>
      <c r="G102" s="19"/>
      <c r="H102" s="19"/>
      <c r="I102" s="92"/>
      <c r="J102" s="92"/>
      <c r="K102" s="92"/>
      <c r="L102" s="93"/>
      <c r="M102" s="93"/>
      <c r="N102" s="94"/>
      <c r="O102" s="93"/>
      <c r="P102" s="15"/>
      <c r="Q102" s="68"/>
      <c r="R102" s="53"/>
      <c r="S102" s="53"/>
      <c r="T102" s="79"/>
      <c r="U102" s="79"/>
    </row>
    <row r="103" spans="1:21" s="32" customFormat="1" ht="30.75" customHeight="1" x14ac:dyDescent="0.2">
      <c r="A103" s="30" t="s">
        <v>618</v>
      </c>
      <c r="B103" s="28"/>
      <c r="C103" s="28"/>
      <c r="D103" s="28"/>
      <c r="E103" s="28"/>
      <c r="F103" s="26"/>
      <c r="G103" s="28"/>
      <c r="H103" s="24"/>
      <c r="I103" s="12"/>
      <c r="J103" s="12"/>
      <c r="K103" s="12"/>
      <c r="L103" s="13"/>
      <c r="M103" s="13"/>
      <c r="N103" s="14"/>
      <c r="O103" s="13"/>
      <c r="P103" s="25"/>
      <c r="Q103" s="66"/>
      <c r="R103" s="51"/>
      <c r="S103" s="58"/>
      <c r="T103" s="64"/>
      <c r="U103" s="64"/>
    </row>
    <row r="104" spans="1:21" ht="120" x14ac:dyDescent="0.2">
      <c r="A104" s="11" t="s">
        <v>401</v>
      </c>
      <c r="B104" s="12" t="s">
        <v>211</v>
      </c>
      <c r="C104" s="12">
        <v>53210</v>
      </c>
      <c r="D104" s="12" t="s">
        <v>218</v>
      </c>
      <c r="E104" s="12" t="s">
        <v>219</v>
      </c>
      <c r="F104" s="13" t="s">
        <v>375</v>
      </c>
      <c r="G104" s="12" t="s">
        <v>220</v>
      </c>
      <c r="H104" s="12" t="s">
        <v>536</v>
      </c>
      <c r="I104" s="12" t="s">
        <v>8</v>
      </c>
      <c r="J104" s="12">
        <v>1.2</v>
      </c>
      <c r="K104" s="12" t="s">
        <v>56</v>
      </c>
      <c r="L104" s="13" t="s">
        <v>380</v>
      </c>
      <c r="M104" s="13" t="s">
        <v>380</v>
      </c>
      <c r="N104" s="14">
        <v>3000</v>
      </c>
      <c r="O104" s="13">
        <v>1</v>
      </c>
      <c r="P104" s="14">
        <v>3000</v>
      </c>
      <c r="Q104" s="45">
        <v>1456</v>
      </c>
      <c r="R104" s="49">
        <v>6000</v>
      </c>
      <c r="S104" s="70" t="s">
        <v>619</v>
      </c>
      <c r="T104" s="64">
        <f t="shared" ref="T104:T112" si="5">R104</f>
        <v>6000</v>
      </c>
      <c r="U104" s="64"/>
    </row>
    <row r="105" spans="1:21" ht="331.5" customHeight="1" x14ac:dyDescent="0.2">
      <c r="A105" s="11" t="s">
        <v>402</v>
      </c>
      <c r="B105" s="12" t="s">
        <v>211</v>
      </c>
      <c r="C105" s="12">
        <v>51230</v>
      </c>
      <c r="D105" s="12" t="s">
        <v>218</v>
      </c>
      <c r="E105" s="12" t="s">
        <v>219</v>
      </c>
      <c r="F105" s="13" t="s">
        <v>375</v>
      </c>
      <c r="G105" s="12" t="s">
        <v>221</v>
      </c>
      <c r="H105" s="12" t="s">
        <v>537</v>
      </c>
      <c r="I105" s="12" t="s">
        <v>8</v>
      </c>
      <c r="J105" s="12">
        <v>1.2</v>
      </c>
      <c r="K105" s="12" t="s">
        <v>26</v>
      </c>
      <c r="L105" s="13" t="s">
        <v>380</v>
      </c>
      <c r="M105" s="13" t="s">
        <v>380</v>
      </c>
      <c r="N105" s="14">
        <v>53781</v>
      </c>
      <c r="O105" s="13">
        <v>1</v>
      </c>
      <c r="P105" s="14">
        <v>53781</v>
      </c>
      <c r="Q105" s="45">
        <v>1456</v>
      </c>
      <c r="R105" s="49">
        <v>53781</v>
      </c>
      <c r="S105" s="70" t="s">
        <v>619</v>
      </c>
      <c r="T105" s="64">
        <f t="shared" si="5"/>
        <v>53781</v>
      </c>
      <c r="U105" s="64"/>
    </row>
    <row r="106" spans="1:21" ht="165" x14ac:dyDescent="0.2">
      <c r="A106" s="11" t="s">
        <v>403</v>
      </c>
      <c r="B106" s="12" t="s">
        <v>211</v>
      </c>
      <c r="C106" s="12">
        <v>51130</v>
      </c>
      <c r="D106" s="12" t="s">
        <v>218</v>
      </c>
      <c r="E106" s="12" t="s">
        <v>219</v>
      </c>
      <c r="F106" s="13" t="s">
        <v>375</v>
      </c>
      <c r="G106" s="12" t="s">
        <v>222</v>
      </c>
      <c r="H106" s="12" t="s">
        <v>538</v>
      </c>
      <c r="I106" s="12" t="s">
        <v>8</v>
      </c>
      <c r="J106" s="12">
        <v>1.2</v>
      </c>
      <c r="K106" s="12" t="s">
        <v>29</v>
      </c>
      <c r="L106" s="13" t="s">
        <v>380</v>
      </c>
      <c r="M106" s="13" t="s">
        <v>380</v>
      </c>
      <c r="N106" s="14">
        <v>10000</v>
      </c>
      <c r="O106" s="13">
        <v>1</v>
      </c>
      <c r="P106" s="14">
        <v>10000</v>
      </c>
      <c r="Q106" s="45">
        <v>1456</v>
      </c>
      <c r="R106" s="49">
        <v>10000</v>
      </c>
      <c r="S106" s="70"/>
      <c r="T106" s="64">
        <f t="shared" si="5"/>
        <v>10000</v>
      </c>
      <c r="U106" s="64"/>
    </row>
    <row r="107" spans="1:21" ht="75" x14ac:dyDescent="0.2">
      <c r="A107" s="11" t="s">
        <v>406</v>
      </c>
      <c r="B107" s="12" t="s">
        <v>211</v>
      </c>
      <c r="C107" s="12">
        <v>51310</v>
      </c>
      <c r="D107" s="12" t="s">
        <v>218</v>
      </c>
      <c r="E107" s="12" t="s">
        <v>219</v>
      </c>
      <c r="F107" s="13" t="s">
        <v>375</v>
      </c>
      <c r="G107" s="12" t="s">
        <v>232</v>
      </c>
      <c r="H107" s="12" t="s">
        <v>233</v>
      </c>
      <c r="I107" s="12" t="s">
        <v>8</v>
      </c>
      <c r="J107" s="12">
        <v>1.2</v>
      </c>
      <c r="K107" s="12" t="s">
        <v>32</v>
      </c>
      <c r="L107" s="13" t="s">
        <v>380</v>
      </c>
      <c r="M107" s="13" t="s">
        <v>380</v>
      </c>
      <c r="N107" s="14">
        <v>20000</v>
      </c>
      <c r="O107" s="13">
        <v>1</v>
      </c>
      <c r="P107" s="14">
        <v>20000</v>
      </c>
      <c r="Q107" s="45">
        <v>1456</v>
      </c>
      <c r="R107" s="49">
        <v>20000</v>
      </c>
      <c r="S107" s="70" t="s">
        <v>619</v>
      </c>
      <c r="T107" s="64">
        <f t="shared" si="5"/>
        <v>20000</v>
      </c>
      <c r="U107" s="64"/>
    </row>
    <row r="108" spans="1:21" ht="348" customHeight="1" x14ac:dyDescent="0.2">
      <c r="A108" s="11" t="s">
        <v>427</v>
      </c>
      <c r="B108" s="12" t="s">
        <v>190</v>
      </c>
      <c r="C108" s="12">
        <v>51230</v>
      </c>
      <c r="D108" s="12" t="s">
        <v>191</v>
      </c>
      <c r="E108" s="12" t="s">
        <v>192</v>
      </c>
      <c r="F108" s="13" t="s">
        <v>375</v>
      </c>
      <c r="G108" s="12" t="s">
        <v>193</v>
      </c>
      <c r="H108" s="12" t="s">
        <v>545</v>
      </c>
      <c r="I108" s="12" t="s">
        <v>8</v>
      </c>
      <c r="J108" s="12"/>
      <c r="K108" s="12" t="s">
        <v>26</v>
      </c>
      <c r="L108" s="13" t="s">
        <v>380</v>
      </c>
      <c r="M108" s="13" t="s">
        <v>381</v>
      </c>
      <c r="N108" s="14">
        <v>31000</v>
      </c>
      <c r="O108" s="13">
        <v>1</v>
      </c>
      <c r="P108" s="14">
        <v>31000</v>
      </c>
      <c r="Q108" s="45">
        <v>951</v>
      </c>
      <c r="R108" s="49">
        <v>35000</v>
      </c>
      <c r="S108" s="70" t="s">
        <v>619</v>
      </c>
      <c r="T108" s="64">
        <f t="shared" si="5"/>
        <v>35000</v>
      </c>
      <c r="U108" s="64"/>
    </row>
    <row r="109" spans="1:21" ht="65.25" customHeight="1" x14ac:dyDescent="0.2">
      <c r="A109" s="11" t="s">
        <v>428</v>
      </c>
      <c r="B109" s="12" t="s">
        <v>284</v>
      </c>
      <c r="C109" s="12">
        <v>51310</v>
      </c>
      <c r="D109" s="12" t="s">
        <v>285</v>
      </c>
      <c r="E109" s="12" t="s">
        <v>286</v>
      </c>
      <c r="F109" s="13" t="s">
        <v>375</v>
      </c>
      <c r="G109" s="12" t="s">
        <v>287</v>
      </c>
      <c r="H109" s="12" t="s">
        <v>288</v>
      </c>
      <c r="I109" s="12" t="s">
        <v>8</v>
      </c>
      <c r="J109" s="12"/>
      <c r="K109" s="12" t="s">
        <v>81</v>
      </c>
      <c r="L109" s="13" t="s">
        <v>380</v>
      </c>
      <c r="M109" s="13" t="s">
        <v>381</v>
      </c>
      <c r="N109" s="14">
        <v>12000</v>
      </c>
      <c r="O109" s="13">
        <v>1</v>
      </c>
      <c r="P109" s="14">
        <v>12000</v>
      </c>
      <c r="Q109" s="45">
        <v>1432</v>
      </c>
      <c r="R109" s="49">
        <v>0</v>
      </c>
      <c r="S109" s="69" t="s">
        <v>623</v>
      </c>
      <c r="T109" s="64">
        <f t="shared" si="5"/>
        <v>0</v>
      </c>
      <c r="U109" s="64"/>
    </row>
    <row r="110" spans="1:21" ht="360" x14ac:dyDescent="0.2">
      <c r="A110" s="11" t="s">
        <v>433</v>
      </c>
      <c r="B110" s="12" t="s">
        <v>200</v>
      </c>
      <c r="C110" s="12">
        <v>51130</v>
      </c>
      <c r="D110" s="12" t="s">
        <v>201</v>
      </c>
      <c r="E110" s="12" t="s">
        <v>202</v>
      </c>
      <c r="F110" s="13" t="s">
        <v>375</v>
      </c>
      <c r="G110" s="12" t="s">
        <v>203</v>
      </c>
      <c r="H110" s="12" t="s">
        <v>548</v>
      </c>
      <c r="I110" s="12" t="s">
        <v>8</v>
      </c>
      <c r="J110" s="12"/>
      <c r="K110" s="12" t="s">
        <v>26</v>
      </c>
      <c r="L110" s="13" t="s">
        <v>380</v>
      </c>
      <c r="M110" s="13" t="s">
        <v>380</v>
      </c>
      <c r="N110" s="14">
        <v>70000</v>
      </c>
      <c r="O110" s="13">
        <v>1</v>
      </c>
      <c r="P110" s="14">
        <v>70000</v>
      </c>
      <c r="Q110" s="45">
        <v>1436</v>
      </c>
      <c r="R110" s="49">
        <v>70000</v>
      </c>
      <c r="S110" s="70" t="s">
        <v>618</v>
      </c>
      <c r="T110" s="64">
        <f t="shared" si="5"/>
        <v>70000</v>
      </c>
      <c r="U110" s="64"/>
    </row>
    <row r="111" spans="1:21" s="32" customFormat="1" ht="36.75" customHeight="1" x14ac:dyDescent="0.2">
      <c r="A111" s="11" t="s">
        <v>620</v>
      </c>
      <c r="B111" s="12" t="s">
        <v>621</v>
      </c>
      <c r="C111" s="12"/>
      <c r="D111" s="12"/>
      <c r="E111" s="12" t="s">
        <v>198</v>
      </c>
      <c r="F111" s="13" t="s">
        <v>375</v>
      </c>
      <c r="G111" s="12"/>
      <c r="H111" s="12" t="s">
        <v>622</v>
      </c>
      <c r="I111" s="12"/>
      <c r="J111" s="12"/>
      <c r="K111" s="12"/>
      <c r="L111" s="13"/>
      <c r="M111" s="13"/>
      <c r="N111" s="14"/>
      <c r="O111" s="13"/>
      <c r="P111" s="25">
        <v>30000</v>
      </c>
      <c r="Q111" s="66"/>
      <c r="R111" s="49">
        <v>30000</v>
      </c>
      <c r="S111" s="70" t="s">
        <v>618</v>
      </c>
      <c r="T111" s="64">
        <f t="shared" si="5"/>
        <v>30000</v>
      </c>
      <c r="U111" s="64"/>
    </row>
    <row r="112" spans="1:21" s="32" customFormat="1" ht="36.75" customHeight="1" x14ac:dyDescent="0.2">
      <c r="A112" s="11" t="s">
        <v>811</v>
      </c>
      <c r="B112" s="12" t="str">
        <f>B111</f>
        <v>Mosley/ DiGianfilippo</v>
      </c>
      <c r="C112" s="12"/>
      <c r="D112" s="12"/>
      <c r="E112" s="12" t="s">
        <v>813</v>
      </c>
      <c r="F112" s="13"/>
      <c r="G112" s="12"/>
      <c r="H112" s="12" t="s">
        <v>812</v>
      </c>
      <c r="I112" s="12"/>
      <c r="J112" s="12"/>
      <c r="K112" s="12"/>
      <c r="L112" s="13"/>
      <c r="M112" s="13"/>
      <c r="N112" s="14"/>
      <c r="O112" s="13"/>
      <c r="P112" s="14">
        <v>59185</v>
      </c>
      <c r="Q112" s="66"/>
      <c r="R112" s="49">
        <f>283966-278966+54185</f>
        <v>59185</v>
      </c>
      <c r="S112" s="70" t="s">
        <v>618</v>
      </c>
      <c r="T112" s="64">
        <f t="shared" si="5"/>
        <v>59185</v>
      </c>
      <c r="U112" s="64"/>
    </row>
    <row r="113" spans="1:21" s="32" customFormat="1" ht="36.75" customHeight="1" x14ac:dyDescent="0.2">
      <c r="A113" s="411" t="s">
        <v>627</v>
      </c>
      <c r="B113" s="412"/>
      <c r="C113" s="412"/>
      <c r="D113" s="412"/>
      <c r="E113" s="412"/>
      <c r="F113" s="412"/>
      <c r="G113" s="412"/>
      <c r="H113" s="413"/>
      <c r="I113" s="103"/>
      <c r="J113" s="103"/>
      <c r="K113" s="103"/>
      <c r="L113" s="103"/>
      <c r="M113" s="103"/>
      <c r="N113" s="104"/>
      <c r="O113" s="103"/>
      <c r="P113" s="102">
        <f>SUM(P104:Q112)</f>
        <v>298609</v>
      </c>
      <c r="Q113" s="105"/>
      <c r="R113" s="100">
        <f>SUM(R104:R112)</f>
        <v>283966</v>
      </c>
      <c r="S113" s="106"/>
      <c r="T113" s="102">
        <f>SUM(T104:T112)</f>
        <v>283966</v>
      </c>
      <c r="U113" s="102"/>
    </row>
    <row r="114" spans="1:21" s="32" customFormat="1" ht="35.25" customHeight="1" x14ac:dyDescent="0.2">
      <c r="A114" s="85"/>
      <c r="B114" s="86"/>
      <c r="C114" s="86"/>
      <c r="D114" s="86"/>
      <c r="E114" s="86"/>
      <c r="F114" s="86"/>
      <c r="G114" s="86"/>
      <c r="H114" s="86"/>
      <c r="I114" s="86"/>
      <c r="J114" s="86"/>
      <c r="K114" s="86"/>
      <c r="L114" s="86"/>
      <c r="M114" s="86"/>
      <c r="N114" s="87"/>
      <c r="O114" s="121"/>
      <c r="P114" s="89"/>
      <c r="Q114" s="122"/>
      <c r="R114" s="47"/>
      <c r="S114" s="47"/>
      <c r="T114" s="44"/>
      <c r="U114" s="44"/>
    </row>
    <row r="115" spans="1:21" s="32" customFormat="1" ht="35.25" customHeight="1" x14ac:dyDescent="0.2">
      <c r="A115" s="383" t="s">
        <v>676</v>
      </c>
      <c r="B115" s="384"/>
      <c r="C115" s="384"/>
      <c r="D115" s="384"/>
      <c r="E115" s="384"/>
      <c r="F115" s="384"/>
      <c r="G115" s="384"/>
      <c r="H115" s="384"/>
      <c r="I115" s="384"/>
      <c r="J115" s="384"/>
      <c r="K115" s="384"/>
      <c r="L115" s="384"/>
      <c r="M115" s="384"/>
      <c r="N115" s="384"/>
      <c r="O115" s="384"/>
      <c r="P115" s="384"/>
      <c r="Q115" s="384"/>
      <c r="R115" s="384"/>
      <c r="S115" s="384"/>
      <c r="T115" s="384"/>
      <c r="U115" s="385"/>
    </row>
    <row r="116" spans="1:21" s="32" customFormat="1" ht="35.25" customHeight="1" x14ac:dyDescent="0.2">
      <c r="A116" s="391" t="s">
        <v>121</v>
      </c>
      <c r="B116" s="392"/>
      <c r="C116" s="392"/>
      <c r="D116" s="392"/>
      <c r="E116" s="392"/>
      <c r="F116" s="392"/>
      <c r="G116" s="392"/>
      <c r="H116" s="392"/>
      <c r="I116" s="86"/>
      <c r="J116" s="86"/>
      <c r="K116" s="86"/>
      <c r="L116" s="86"/>
      <c r="M116" s="86"/>
      <c r="N116" s="87"/>
      <c r="O116" s="121"/>
      <c r="P116" s="89"/>
      <c r="Q116" s="122"/>
      <c r="R116" s="47"/>
      <c r="S116" s="47"/>
      <c r="T116" s="44"/>
      <c r="U116" s="44"/>
    </row>
    <row r="117" spans="1:21" ht="240.75" customHeight="1" x14ac:dyDescent="0.2">
      <c r="A117" s="11" t="s">
        <v>501</v>
      </c>
      <c r="B117" s="12" t="s">
        <v>171</v>
      </c>
      <c r="C117" s="12">
        <v>57700</v>
      </c>
      <c r="D117" s="12" t="s">
        <v>172</v>
      </c>
      <c r="E117" s="12" t="s">
        <v>173</v>
      </c>
      <c r="F117" s="13" t="s">
        <v>378</v>
      </c>
      <c r="G117" s="12" t="s">
        <v>174</v>
      </c>
      <c r="H117" s="12" t="s">
        <v>561</v>
      </c>
      <c r="I117" s="12" t="s">
        <v>121</v>
      </c>
      <c r="J117" s="12">
        <v>4.3</v>
      </c>
      <c r="K117" s="12" t="s">
        <v>26</v>
      </c>
      <c r="L117" s="13" t="s">
        <v>381</v>
      </c>
      <c r="M117" s="13" t="s">
        <v>381</v>
      </c>
      <c r="N117" s="14">
        <v>1500</v>
      </c>
      <c r="O117" s="13">
        <v>596</v>
      </c>
      <c r="P117" s="14">
        <v>894000</v>
      </c>
      <c r="Q117" s="45">
        <v>1701</v>
      </c>
      <c r="R117" s="49">
        <v>409269</v>
      </c>
      <c r="S117" s="50" t="s">
        <v>651</v>
      </c>
      <c r="T117" s="64">
        <f t="shared" ref="T117:T132" si="6">R117</f>
        <v>409269</v>
      </c>
      <c r="U117" s="125"/>
    </row>
    <row r="118" spans="1:21" ht="120" x14ac:dyDescent="0.2">
      <c r="A118" s="11" t="s">
        <v>508</v>
      </c>
      <c r="B118" s="12" t="s">
        <v>284</v>
      </c>
      <c r="C118" s="12">
        <v>57700</v>
      </c>
      <c r="D118" s="12" t="s">
        <v>289</v>
      </c>
      <c r="E118" s="12" t="s">
        <v>290</v>
      </c>
      <c r="F118" s="13" t="s">
        <v>375</v>
      </c>
      <c r="G118" s="12" t="s">
        <v>292</v>
      </c>
      <c r="H118" s="12" t="s">
        <v>657</v>
      </c>
      <c r="I118" s="12" t="s">
        <v>11</v>
      </c>
      <c r="J118" s="12"/>
      <c r="K118" s="12" t="s">
        <v>81</v>
      </c>
      <c r="L118" s="13" t="s">
        <v>381</v>
      </c>
      <c r="M118" s="13" t="s">
        <v>381</v>
      </c>
      <c r="N118" s="14">
        <v>1600</v>
      </c>
      <c r="O118" s="13">
        <v>42</v>
      </c>
      <c r="P118" s="14">
        <v>67200</v>
      </c>
      <c r="Q118" s="45">
        <v>1466</v>
      </c>
      <c r="R118" s="49"/>
      <c r="S118" s="49" t="s">
        <v>659</v>
      </c>
      <c r="T118" s="64">
        <f t="shared" si="6"/>
        <v>0</v>
      </c>
      <c r="U118" s="64"/>
    </row>
    <row r="119" spans="1:21" ht="135" x14ac:dyDescent="0.2">
      <c r="A119" s="11" t="s">
        <v>509</v>
      </c>
      <c r="B119" s="12" t="s">
        <v>284</v>
      </c>
      <c r="C119" s="12">
        <v>57700</v>
      </c>
      <c r="D119" s="12" t="s">
        <v>289</v>
      </c>
      <c r="E119" s="12" t="s">
        <v>290</v>
      </c>
      <c r="F119" s="13" t="s">
        <v>375</v>
      </c>
      <c r="G119" s="12" t="s">
        <v>293</v>
      </c>
      <c r="H119" s="12" t="s">
        <v>294</v>
      </c>
      <c r="I119" s="12" t="s">
        <v>11</v>
      </c>
      <c r="J119" s="12"/>
      <c r="K119" s="12" t="s">
        <v>81</v>
      </c>
      <c r="L119" s="13" t="s">
        <v>381</v>
      </c>
      <c r="M119" s="13" t="s">
        <v>381</v>
      </c>
      <c r="N119" s="14">
        <v>1600</v>
      </c>
      <c r="O119" s="13">
        <v>38</v>
      </c>
      <c r="P119" s="14">
        <v>60800</v>
      </c>
      <c r="Q119" s="45">
        <v>1467</v>
      </c>
      <c r="R119" s="49"/>
      <c r="S119" s="49"/>
      <c r="T119" s="64">
        <f t="shared" si="6"/>
        <v>0</v>
      </c>
      <c r="U119" s="64"/>
    </row>
    <row r="120" spans="1:21" ht="75" x14ac:dyDescent="0.2">
      <c r="A120" s="11" t="s">
        <v>510</v>
      </c>
      <c r="B120" s="12" t="s">
        <v>284</v>
      </c>
      <c r="C120" s="12">
        <v>57700</v>
      </c>
      <c r="D120" s="12" t="s">
        <v>289</v>
      </c>
      <c r="E120" s="12" t="s">
        <v>290</v>
      </c>
      <c r="F120" s="13" t="s">
        <v>375</v>
      </c>
      <c r="G120" s="12" t="s">
        <v>295</v>
      </c>
      <c r="H120" s="12" t="s">
        <v>296</v>
      </c>
      <c r="I120" s="12" t="s">
        <v>11</v>
      </c>
      <c r="J120" s="12"/>
      <c r="K120" s="12" t="s">
        <v>81</v>
      </c>
      <c r="L120" s="13" t="s">
        <v>381</v>
      </c>
      <c r="M120" s="13" t="s">
        <v>381</v>
      </c>
      <c r="N120" s="14">
        <v>1600</v>
      </c>
      <c r="O120" s="13">
        <v>40</v>
      </c>
      <c r="P120" s="14">
        <v>64000</v>
      </c>
      <c r="Q120" s="45">
        <v>1468</v>
      </c>
      <c r="R120" s="49"/>
      <c r="S120" s="49" t="s">
        <v>659</v>
      </c>
      <c r="T120" s="64">
        <f t="shared" si="6"/>
        <v>0</v>
      </c>
      <c r="U120" s="64"/>
    </row>
    <row r="121" spans="1:21" ht="76.5" customHeight="1" x14ac:dyDescent="0.2">
      <c r="A121" s="11" t="s">
        <v>496</v>
      </c>
      <c r="B121" s="12" t="s">
        <v>153</v>
      </c>
      <c r="C121" s="12">
        <v>57700</v>
      </c>
      <c r="D121" s="12" t="s">
        <v>154</v>
      </c>
      <c r="E121" s="12" t="s">
        <v>155</v>
      </c>
      <c r="F121" s="13" t="s">
        <v>378</v>
      </c>
      <c r="G121" s="12" t="s">
        <v>164</v>
      </c>
      <c r="H121" s="12" t="s">
        <v>165</v>
      </c>
      <c r="I121" s="12" t="s">
        <v>121</v>
      </c>
      <c r="J121" s="12"/>
      <c r="K121" s="12" t="s">
        <v>81</v>
      </c>
      <c r="L121" s="13" t="s">
        <v>381</v>
      </c>
      <c r="M121" s="13" t="s">
        <v>381</v>
      </c>
      <c r="N121" s="14">
        <v>1600</v>
      </c>
      <c r="O121" s="13">
        <v>31</v>
      </c>
      <c r="P121" s="14">
        <v>49600</v>
      </c>
      <c r="Q121" s="45">
        <v>1482</v>
      </c>
      <c r="R121" s="49"/>
      <c r="S121" s="49" t="s">
        <v>659</v>
      </c>
      <c r="T121" s="64">
        <f t="shared" si="6"/>
        <v>0</v>
      </c>
      <c r="U121" s="125"/>
    </row>
    <row r="122" spans="1:21" ht="90" x14ac:dyDescent="0.2">
      <c r="A122" s="11" t="s">
        <v>495</v>
      </c>
      <c r="B122" s="12" t="s">
        <v>153</v>
      </c>
      <c r="C122" s="12">
        <v>57700</v>
      </c>
      <c r="D122" s="12" t="s">
        <v>154</v>
      </c>
      <c r="E122" s="12" t="s">
        <v>155</v>
      </c>
      <c r="F122" s="13" t="s">
        <v>378</v>
      </c>
      <c r="G122" s="12" t="s">
        <v>163</v>
      </c>
      <c r="H122" s="12" t="s">
        <v>660</v>
      </c>
      <c r="I122" s="12" t="s">
        <v>121</v>
      </c>
      <c r="J122" s="12"/>
      <c r="K122" s="12" t="s">
        <v>81</v>
      </c>
      <c r="L122" s="13" t="s">
        <v>381</v>
      </c>
      <c r="M122" s="13" t="s">
        <v>381</v>
      </c>
      <c r="N122" s="14">
        <v>1600</v>
      </c>
      <c r="O122" s="13">
        <v>3</v>
      </c>
      <c r="P122" s="14">
        <v>4800</v>
      </c>
      <c r="Q122" s="45">
        <v>1453</v>
      </c>
      <c r="R122" s="49"/>
      <c r="S122" s="49" t="s">
        <v>659</v>
      </c>
      <c r="T122" s="64">
        <f t="shared" si="6"/>
        <v>0</v>
      </c>
      <c r="U122" s="125"/>
    </row>
    <row r="123" spans="1:21" ht="315" x14ac:dyDescent="0.2">
      <c r="A123" s="11" t="s">
        <v>502</v>
      </c>
      <c r="B123" s="12" t="s">
        <v>171</v>
      </c>
      <c r="C123" s="12">
        <v>57745</v>
      </c>
      <c r="D123" s="12" t="s">
        <v>172</v>
      </c>
      <c r="E123" s="12" t="s">
        <v>173</v>
      </c>
      <c r="F123" s="13" t="s">
        <v>378</v>
      </c>
      <c r="G123" s="12" t="s">
        <v>175</v>
      </c>
      <c r="H123" s="12" t="s">
        <v>562</v>
      </c>
      <c r="I123" s="12" t="s">
        <v>121</v>
      </c>
      <c r="J123" s="12">
        <v>4.3</v>
      </c>
      <c r="K123" s="12" t="s">
        <v>26</v>
      </c>
      <c r="L123" s="13" t="s">
        <v>381</v>
      </c>
      <c r="M123" s="13" t="s">
        <v>381</v>
      </c>
      <c r="N123" s="14">
        <v>1500</v>
      </c>
      <c r="O123" s="13">
        <v>115</v>
      </c>
      <c r="P123" s="14">
        <v>172500</v>
      </c>
      <c r="Q123" s="45">
        <v>1701</v>
      </c>
      <c r="R123" s="49">
        <v>160180</v>
      </c>
      <c r="S123" s="50" t="s">
        <v>652</v>
      </c>
      <c r="T123" s="64">
        <f t="shared" si="6"/>
        <v>160180</v>
      </c>
      <c r="U123" s="125"/>
    </row>
    <row r="124" spans="1:21" ht="409" x14ac:dyDescent="0.2">
      <c r="A124" s="11" t="s">
        <v>503</v>
      </c>
      <c r="B124" s="12" t="s">
        <v>171</v>
      </c>
      <c r="C124" s="12">
        <v>57750</v>
      </c>
      <c r="D124" s="12" t="s">
        <v>172</v>
      </c>
      <c r="E124" s="12" t="s">
        <v>173</v>
      </c>
      <c r="F124" s="13" t="s">
        <v>378</v>
      </c>
      <c r="G124" s="12" t="s">
        <v>176</v>
      </c>
      <c r="H124" s="12" t="s">
        <v>177</v>
      </c>
      <c r="I124" s="12" t="s">
        <v>121</v>
      </c>
      <c r="J124" s="12">
        <v>4.3</v>
      </c>
      <c r="K124" s="12" t="s">
        <v>26</v>
      </c>
      <c r="L124" s="13" t="s">
        <v>381</v>
      </c>
      <c r="M124" s="13" t="s">
        <v>381</v>
      </c>
      <c r="N124" s="14">
        <v>4800</v>
      </c>
      <c r="O124" s="13">
        <v>6</v>
      </c>
      <c r="P124" s="14">
        <v>28800</v>
      </c>
      <c r="Q124" s="45">
        <v>1701</v>
      </c>
      <c r="R124" s="49">
        <v>28800</v>
      </c>
      <c r="S124" s="49"/>
      <c r="T124" s="64">
        <f t="shared" si="6"/>
        <v>28800</v>
      </c>
      <c r="U124" s="125"/>
    </row>
    <row r="125" spans="1:21" ht="60" x14ac:dyDescent="0.2">
      <c r="A125" s="11" t="s">
        <v>497</v>
      </c>
      <c r="B125" s="12" t="s">
        <v>153</v>
      </c>
      <c r="C125" s="12">
        <v>57700</v>
      </c>
      <c r="D125" s="12" t="s">
        <v>154</v>
      </c>
      <c r="E125" s="12" t="s">
        <v>155</v>
      </c>
      <c r="F125" s="13" t="s">
        <v>378</v>
      </c>
      <c r="G125" s="12" t="s">
        <v>166</v>
      </c>
      <c r="H125" s="12" t="s">
        <v>653</v>
      </c>
      <c r="I125" s="12" t="s">
        <v>121</v>
      </c>
      <c r="J125" s="12"/>
      <c r="K125" s="12" t="s">
        <v>81</v>
      </c>
      <c r="L125" s="13" t="s">
        <v>381</v>
      </c>
      <c r="M125" s="13" t="s">
        <v>381</v>
      </c>
      <c r="N125" s="14">
        <v>10000</v>
      </c>
      <c r="O125" s="13">
        <v>1</v>
      </c>
      <c r="P125" s="14">
        <v>10000</v>
      </c>
      <c r="Q125" s="45">
        <v>1669</v>
      </c>
      <c r="R125" s="49">
        <v>10000</v>
      </c>
      <c r="S125" s="49"/>
      <c r="T125" s="64">
        <f t="shared" si="6"/>
        <v>10000</v>
      </c>
      <c r="U125" s="125"/>
    </row>
    <row r="126" spans="1:21" ht="60" x14ac:dyDescent="0.2">
      <c r="A126" s="11" t="s">
        <v>498</v>
      </c>
      <c r="B126" s="12" t="s">
        <v>153</v>
      </c>
      <c r="C126" s="12">
        <v>57700</v>
      </c>
      <c r="D126" s="12" t="s">
        <v>154</v>
      </c>
      <c r="E126" s="12" t="s">
        <v>155</v>
      </c>
      <c r="F126" s="13" t="s">
        <v>378</v>
      </c>
      <c r="G126" s="12" t="s">
        <v>167</v>
      </c>
      <c r="H126" s="12" t="s">
        <v>168</v>
      </c>
      <c r="I126" s="12" t="s">
        <v>121</v>
      </c>
      <c r="J126" s="12"/>
      <c r="K126" s="12" t="s">
        <v>81</v>
      </c>
      <c r="L126" s="13" t="s">
        <v>381</v>
      </c>
      <c r="M126" s="13" t="s">
        <v>381</v>
      </c>
      <c r="N126" s="14">
        <v>35000</v>
      </c>
      <c r="O126" s="13">
        <v>1</v>
      </c>
      <c r="P126" s="14">
        <v>35000</v>
      </c>
      <c r="Q126" s="45">
        <v>1670</v>
      </c>
      <c r="R126" s="49">
        <v>35000</v>
      </c>
      <c r="S126" s="50" t="s">
        <v>655</v>
      </c>
      <c r="T126" s="64">
        <f t="shared" si="6"/>
        <v>35000</v>
      </c>
      <c r="U126" s="125"/>
    </row>
    <row r="127" spans="1:21" ht="392.25" customHeight="1" x14ac:dyDescent="0.2">
      <c r="A127" s="11" t="s">
        <v>661</v>
      </c>
      <c r="B127" s="12" t="s">
        <v>171</v>
      </c>
      <c r="C127" s="12">
        <v>57720</v>
      </c>
      <c r="D127" s="12" t="s">
        <v>172</v>
      </c>
      <c r="E127" s="12" t="s">
        <v>173</v>
      </c>
      <c r="F127" s="13" t="s">
        <v>378</v>
      </c>
      <c r="G127" s="12" t="s">
        <v>662</v>
      </c>
      <c r="H127" s="12" t="s">
        <v>663</v>
      </c>
      <c r="I127" s="12" t="s">
        <v>121</v>
      </c>
      <c r="J127" s="12"/>
      <c r="K127" s="12"/>
      <c r="L127" s="13" t="s">
        <v>381</v>
      </c>
      <c r="M127" s="13" t="s">
        <v>381</v>
      </c>
      <c r="N127" s="14"/>
      <c r="O127" s="13">
        <v>40</v>
      </c>
      <c r="P127" s="14">
        <v>200000</v>
      </c>
      <c r="Q127" s="45">
        <v>1701</v>
      </c>
      <c r="R127" s="49">
        <v>200000</v>
      </c>
      <c r="S127" s="49"/>
      <c r="T127" s="64">
        <f t="shared" si="6"/>
        <v>200000</v>
      </c>
      <c r="U127" s="125"/>
    </row>
    <row r="128" spans="1:21" ht="60" x14ac:dyDescent="0.2">
      <c r="A128" s="11" t="s">
        <v>499</v>
      </c>
      <c r="B128" s="12" t="s">
        <v>153</v>
      </c>
      <c r="C128" s="12">
        <v>57700</v>
      </c>
      <c r="D128" s="12" t="s">
        <v>154</v>
      </c>
      <c r="E128" s="12" t="s">
        <v>155</v>
      </c>
      <c r="F128" s="13" t="s">
        <v>378</v>
      </c>
      <c r="G128" s="12" t="s">
        <v>169</v>
      </c>
      <c r="H128" s="12" t="s">
        <v>170</v>
      </c>
      <c r="I128" s="12" t="s">
        <v>121</v>
      </c>
      <c r="J128" s="12"/>
      <c r="K128" s="12" t="s">
        <v>26</v>
      </c>
      <c r="L128" s="13" t="s">
        <v>381</v>
      </c>
      <c r="M128" s="13" t="s">
        <v>381</v>
      </c>
      <c r="N128" s="14">
        <v>13000</v>
      </c>
      <c r="O128" s="13">
        <v>1</v>
      </c>
      <c r="P128" s="14">
        <v>13000</v>
      </c>
      <c r="Q128" s="45">
        <v>1671</v>
      </c>
      <c r="R128" s="49">
        <v>2500</v>
      </c>
      <c r="S128" s="49"/>
      <c r="T128" s="64">
        <f t="shared" si="6"/>
        <v>2500</v>
      </c>
      <c r="U128" s="125"/>
    </row>
    <row r="129" spans="1:21" ht="180" x14ac:dyDescent="0.2">
      <c r="A129" s="11" t="s">
        <v>494</v>
      </c>
      <c r="B129" s="12" t="s">
        <v>275</v>
      </c>
      <c r="C129" s="12">
        <v>57745</v>
      </c>
      <c r="D129" s="12" t="s">
        <v>276</v>
      </c>
      <c r="E129" s="12" t="s">
        <v>277</v>
      </c>
      <c r="F129" s="13" t="s">
        <v>375</v>
      </c>
      <c r="G129" s="12" t="s">
        <v>282</v>
      </c>
      <c r="H129" s="12" t="s">
        <v>283</v>
      </c>
      <c r="I129" s="12" t="s">
        <v>121</v>
      </c>
      <c r="J129" s="12"/>
      <c r="K129" s="12" t="s">
        <v>81</v>
      </c>
      <c r="L129" s="13" t="s">
        <v>381</v>
      </c>
      <c r="M129" s="13" t="s">
        <v>381</v>
      </c>
      <c r="N129" s="14">
        <v>1600</v>
      </c>
      <c r="O129" s="13">
        <v>20</v>
      </c>
      <c r="P129" s="14">
        <v>32000</v>
      </c>
      <c r="Q129" s="45">
        <v>1520</v>
      </c>
      <c r="R129" s="49">
        <v>23480</v>
      </c>
      <c r="S129" s="123" t="s">
        <v>658</v>
      </c>
      <c r="T129" s="64">
        <f t="shared" si="6"/>
        <v>23480</v>
      </c>
      <c r="U129" s="125"/>
    </row>
    <row r="130" spans="1:21" s="32" customFormat="1" ht="345" x14ac:dyDescent="0.2">
      <c r="A130" s="11" t="s">
        <v>500</v>
      </c>
      <c r="B130" s="12" t="s">
        <v>246</v>
      </c>
      <c r="C130" s="12">
        <v>57620</v>
      </c>
      <c r="D130" s="12" t="s">
        <v>247</v>
      </c>
      <c r="E130" s="12" t="s">
        <v>248</v>
      </c>
      <c r="F130" s="13" t="s">
        <v>378</v>
      </c>
      <c r="G130" s="12" t="s">
        <v>249</v>
      </c>
      <c r="H130" s="12" t="s">
        <v>250</v>
      </c>
      <c r="I130" s="12" t="s">
        <v>121</v>
      </c>
      <c r="J130" s="12">
        <v>4.3</v>
      </c>
      <c r="K130" s="12" t="s">
        <v>26</v>
      </c>
      <c r="L130" s="13" t="s">
        <v>381</v>
      </c>
      <c r="M130" s="13" t="s">
        <v>381</v>
      </c>
      <c r="N130" s="14">
        <v>2000</v>
      </c>
      <c r="O130" s="13">
        <v>24</v>
      </c>
      <c r="P130" s="14">
        <v>48000</v>
      </c>
      <c r="Q130" s="45">
        <v>1701</v>
      </c>
      <c r="R130" s="49">
        <v>92000</v>
      </c>
      <c r="S130" s="50" t="s">
        <v>654</v>
      </c>
      <c r="T130" s="64">
        <f t="shared" si="6"/>
        <v>92000</v>
      </c>
      <c r="U130" s="125"/>
    </row>
    <row r="131" spans="1:21" ht="225" x14ac:dyDescent="0.2">
      <c r="A131" s="11" t="s">
        <v>504</v>
      </c>
      <c r="B131" s="12" t="s">
        <v>171</v>
      </c>
      <c r="C131" s="12">
        <v>57720</v>
      </c>
      <c r="D131" s="12" t="s">
        <v>172</v>
      </c>
      <c r="E131" s="12" t="s">
        <v>173</v>
      </c>
      <c r="F131" s="13" t="s">
        <v>378</v>
      </c>
      <c r="G131" s="12" t="s">
        <v>180</v>
      </c>
      <c r="H131" s="12" t="s">
        <v>181</v>
      </c>
      <c r="I131" s="12" t="s">
        <v>121</v>
      </c>
      <c r="J131" s="12">
        <v>4.3</v>
      </c>
      <c r="K131" s="12" t="s">
        <v>26</v>
      </c>
      <c r="L131" s="13" t="s">
        <v>381</v>
      </c>
      <c r="M131" s="13" t="s">
        <v>381</v>
      </c>
      <c r="N131" s="14">
        <v>587</v>
      </c>
      <c r="O131" s="13">
        <v>40</v>
      </c>
      <c r="P131" s="14">
        <v>23480</v>
      </c>
      <c r="Q131" s="45">
        <v>1701</v>
      </c>
      <c r="R131" s="49">
        <v>0</v>
      </c>
      <c r="S131" s="50" t="s">
        <v>664</v>
      </c>
      <c r="T131" s="64">
        <f t="shared" si="6"/>
        <v>0</v>
      </c>
      <c r="U131" s="125"/>
    </row>
    <row r="132" spans="1:21" s="32" customFormat="1" ht="31.5" customHeight="1" x14ac:dyDescent="0.2">
      <c r="A132" s="11"/>
      <c r="B132" s="12"/>
      <c r="C132" s="12"/>
      <c r="D132" s="12"/>
      <c r="E132" s="12"/>
      <c r="F132" s="13"/>
      <c r="G132" s="12"/>
      <c r="H132" s="12"/>
      <c r="I132" s="45"/>
      <c r="J132" s="28"/>
      <c r="K132" s="28"/>
      <c r="L132" s="84"/>
      <c r="M132" s="13"/>
      <c r="N132" s="14"/>
      <c r="O132" s="13"/>
      <c r="P132" s="14"/>
      <c r="Q132" s="45"/>
      <c r="R132" s="49"/>
      <c r="S132" s="49"/>
      <c r="T132" s="64">
        <f t="shared" si="6"/>
        <v>0</v>
      </c>
      <c r="U132" s="64"/>
    </row>
    <row r="133" spans="1:21" s="4" customFormat="1" ht="34.5" customHeight="1" x14ac:dyDescent="0.2">
      <c r="A133" s="418" t="s">
        <v>576</v>
      </c>
      <c r="B133" s="419"/>
      <c r="C133" s="419"/>
      <c r="D133" s="419"/>
      <c r="E133" s="419"/>
      <c r="F133" s="419"/>
      <c r="G133" s="419"/>
      <c r="H133" s="419"/>
      <c r="I133" s="419"/>
      <c r="J133" s="419"/>
      <c r="K133" s="419"/>
      <c r="L133" s="420"/>
      <c r="M133" s="96"/>
      <c r="N133" s="97"/>
      <c r="O133" s="96"/>
      <c r="P133" s="97">
        <f>SUM(P117:P131)</f>
        <v>1703180</v>
      </c>
      <c r="Q133" s="115"/>
      <c r="R133" s="100">
        <f>SUM(R117:R131)</f>
        <v>961229</v>
      </c>
      <c r="S133" s="100"/>
      <c r="T133" s="100">
        <f>SUM(T117:T131)</f>
        <v>961229</v>
      </c>
      <c r="U133" s="120"/>
    </row>
    <row r="134" spans="1:21" s="32" customFormat="1" ht="25.5" customHeight="1" x14ac:dyDescent="0.2">
      <c r="A134" s="126"/>
      <c r="B134" s="127"/>
      <c r="C134" s="127"/>
      <c r="D134" s="127"/>
      <c r="E134" s="127"/>
      <c r="F134" s="88"/>
      <c r="G134" s="127"/>
      <c r="H134" s="127"/>
      <c r="I134" s="128"/>
      <c r="J134" s="129"/>
      <c r="K134" s="129"/>
      <c r="L134" s="130"/>
      <c r="M134" s="88"/>
      <c r="N134" s="89"/>
      <c r="O134" s="88"/>
      <c r="P134" s="89"/>
      <c r="Q134" s="90"/>
      <c r="R134" s="83"/>
      <c r="S134" s="83"/>
      <c r="T134" s="44"/>
      <c r="U134" s="44"/>
    </row>
    <row r="135" spans="1:21" s="32" customFormat="1" ht="30" customHeight="1" x14ac:dyDescent="0.2">
      <c r="A135" s="398" t="s">
        <v>673</v>
      </c>
      <c r="B135" s="399"/>
      <c r="C135" s="399"/>
      <c r="D135" s="399"/>
      <c r="E135" s="399"/>
      <c r="F135" s="399"/>
      <c r="G135" s="399"/>
      <c r="H135" s="400"/>
      <c r="I135" s="128"/>
      <c r="J135" s="129"/>
      <c r="K135" s="129"/>
      <c r="L135" s="130"/>
      <c r="M135" s="88"/>
      <c r="N135" s="89"/>
      <c r="O135" s="88"/>
      <c r="P135" s="89"/>
      <c r="Q135" s="90"/>
      <c r="R135" s="83"/>
      <c r="S135" s="83"/>
      <c r="T135" s="44"/>
      <c r="U135" s="44"/>
    </row>
    <row r="136" spans="1:21" ht="109.5" customHeight="1" x14ac:dyDescent="0.2">
      <c r="A136" s="11" t="s">
        <v>517</v>
      </c>
      <c r="B136" s="12" t="s">
        <v>211</v>
      </c>
      <c r="C136" s="12">
        <v>58020</v>
      </c>
      <c r="D136" s="12" t="s">
        <v>234</v>
      </c>
      <c r="E136" s="12" t="s">
        <v>235</v>
      </c>
      <c r="F136" s="13" t="s">
        <v>375</v>
      </c>
      <c r="G136" s="12" t="s">
        <v>236</v>
      </c>
      <c r="H136" s="12" t="s">
        <v>565</v>
      </c>
      <c r="I136" s="12" t="s">
        <v>13</v>
      </c>
      <c r="J136" s="12" t="s">
        <v>237</v>
      </c>
      <c r="K136" s="12" t="s">
        <v>26</v>
      </c>
      <c r="L136" s="13" t="s">
        <v>381</v>
      </c>
      <c r="M136" s="13" t="s">
        <v>381</v>
      </c>
      <c r="N136" s="14">
        <v>645</v>
      </c>
      <c r="O136" s="13">
        <v>2</v>
      </c>
      <c r="P136" s="14">
        <v>1290</v>
      </c>
      <c r="Q136" s="45">
        <v>1458</v>
      </c>
      <c r="R136" s="49">
        <f>P136</f>
        <v>1290</v>
      </c>
      <c r="S136" s="49"/>
      <c r="T136" s="64">
        <f t="shared" ref="T136:T157" si="7">R136</f>
        <v>1290</v>
      </c>
      <c r="U136" s="64"/>
    </row>
    <row r="137" spans="1:21" ht="105" x14ac:dyDescent="0.2">
      <c r="A137" s="11" t="s">
        <v>518</v>
      </c>
      <c r="B137" s="12" t="s">
        <v>211</v>
      </c>
      <c r="C137" s="12">
        <v>58020</v>
      </c>
      <c r="D137" s="12" t="s">
        <v>234</v>
      </c>
      <c r="E137" s="12" t="s">
        <v>235</v>
      </c>
      <c r="F137" s="13" t="s">
        <v>375</v>
      </c>
      <c r="G137" s="12" t="s">
        <v>238</v>
      </c>
      <c r="H137" s="12" t="s">
        <v>566</v>
      </c>
      <c r="I137" s="12" t="s">
        <v>13</v>
      </c>
      <c r="J137" s="12" t="s">
        <v>237</v>
      </c>
      <c r="K137" s="12" t="s">
        <v>26</v>
      </c>
      <c r="L137" s="13" t="s">
        <v>381</v>
      </c>
      <c r="M137" s="13" t="s">
        <v>381</v>
      </c>
      <c r="N137" s="14">
        <v>850</v>
      </c>
      <c r="O137" s="13">
        <v>6</v>
      </c>
      <c r="P137" s="14">
        <v>5100</v>
      </c>
      <c r="Q137" s="45">
        <v>1458</v>
      </c>
      <c r="R137" s="49">
        <f>P137</f>
        <v>5100</v>
      </c>
      <c r="S137" s="49"/>
      <c r="T137" s="64">
        <f t="shared" si="7"/>
        <v>5100</v>
      </c>
      <c r="U137" s="64"/>
    </row>
    <row r="138" spans="1:21" ht="96.75" customHeight="1" x14ac:dyDescent="0.2">
      <c r="A138" s="11" t="s">
        <v>519</v>
      </c>
      <c r="B138" s="12" t="s">
        <v>211</v>
      </c>
      <c r="C138" s="12">
        <v>58020</v>
      </c>
      <c r="D138" s="12" t="s">
        <v>234</v>
      </c>
      <c r="E138" s="12" t="s">
        <v>235</v>
      </c>
      <c r="F138" s="13" t="s">
        <v>375</v>
      </c>
      <c r="G138" s="12" t="s">
        <v>239</v>
      </c>
      <c r="H138" s="12" t="s">
        <v>567</v>
      </c>
      <c r="I138" s="12" t="s">
        <v>13</v>
      </c>
      <c r="J138" s="12" t="s">
        <v>237</v>
      </c>
      <c r="K138" s="12" t="s">
        <v>26</v>
      </c>
      <c r="L138" s="13" t="s">
        <v>381</v>
      </c>
      <c r="M138" s="13" t="s">
        <v>381</v>
      </c>
      <c r="N138" s="14">
        <v>875</v>
      </c>
      <c r="O138" s="13">
        <v>6</v>
      </c>
      <c r="P138" s="14">
        <v>5250</v>
      </c>
      <c r="Q138" s="45">
        <v>1458</v>
      </c>
      <c r="R138" s="49">
        <f>P138</f>
        <v>5250</v>
      </c>
      <c r="S138" s="49"/>
      <c r="T138" s="64">
        <f t="shared" si="7"/>
        <v>5250</v>
      </c>
      <c r="U138" s="64"/>
    </row>
    <row r="139" spans="1:21" ht="96.75" customHeight="1" x14ac:dyDescent="0.2">
      <c r="A139" s="11" t="s">
        <v>520</v>
      </c>
      <c r="B139" s="12" t="s">
        <v>211</v>
      </c>
      <c r="C139" s="12">
        <v>58020</v>
      </c>
      <c r="D139" s="12" t="s">
        <v>234</v>
      </c>
      <c r="E139" s="12" t="s">
        <v>235</v>
      </c>
      <c r="F139" s="13" t="s">
        <v>375</v>
      </c>
      <c r="G139" s="12" t="s">
        <v>240</v>
      </c>
      <c r="H139" s="12" t="s">
        <v>568</v>
      </c>
      <c r="I139" s="12" t="s">
        <v>13</v>
      </c>
      <c r="J139" s="12" t="s">
        <v>237</v>
      </c>
      <c r="K139" s="12" t="s">
        <v>26</v>
      </c>
      <c r="L139" s="13" t="s">
        <v>381</v>
      </c>
      <c r="M139" s="13" t="s">
        <v>381</v>
      </c>
      <c r="N139" s="14">
        <v>985</v>
      </c>
      <c r="O139" s="13">
        <v>3</v>
      </c>
      <c r="P139" s="14">
        <v>2955</v>
      </c>
      <c r="Q139" s="45">
        <v>1458</v>
      </c>
      <c r="R139" s="49">
        <f>P139</f>
        <v>2955</v>
      </c>
      <c r="S139" s="49"/>
      <c r="T139" s="64">
        <f t="shared" si="7"/>
        <v>2955</v>
      </c>
      <c r="U139" s="64"/>
    </row>
    <row r="140" spans="1:21" ht="93.75" customHeight="1" x14ac:dyDescent="0.2">
      <c r="A140" s="11" t="s">
        <v>521</v>
      </c>
      <c r="B140" s="12" t="s">
        <v>211</v>
      </c>
      <c r="C140" s="12">
        <v>58020</v>
      </c>
      <c r="D140" s="12" t="s">
        <v>234</v>
      </c>
      <c r="E140" s="12" t="s">
        <v>235</v>
      </c>
      <c r="F140" s="13" t="s">
        <v>375</v>
      </c>
      <c r="G140" s="12" t="s">
        <v>241</v>
      </c>
      <c r="H140" s="12" t="s">
        <v>569</v>
      </c>
      <c r="I140" s="12" t="s">
        <v>13</v>
      </c>
      <c r="J140" s="12" t="s">
        <v>237</v>
      </c>
      <c r="K140" s="12" t="s">
        <v>26</v>
      </c>
      <c r="L140" s="13" t="s">
        <v>381</v>
      </c>
      <c r="M140" s="13" t="s">
        <v>381</v>
      </c>
      <c r="N140" s="14">
        <v>650</v>
      </c>
      <c r="O140" s="13">
        <v>2</v>
      </c>
      <c r="P140" s="14">
        <v>1300</v>
      </c>
      <c r="Q140" s="45">
        <v>1458</v>
      </c>
      <c r="R140" s="49">
        <f>P140</f>
        <v>1300</v>
      </c>
      <c r="S140" s="49"/>
      <c r="T140" s="64">
        <f t="shared" si="7"/>
        <v>1300</v>
      </c>
      <c r="U140" s="64"/>
    </row>
    <row r="141" spans="1:21" s="32" customFormat="1" ht="45" x14ac:dyDescent="0.2">
      <c r="A141" s="11" t="s">
        <v>524</v>
      </c>
      <c r="B141" s="12" t="s">
        <v>196</v>
      </c>
      <c r="C141" s="12">
        <v>58020</v>
      </c>
      <c r="D141" s="12" t="s">
        <v>197</v>
      </c>
      <c r="E141" s="12" t="s">
        <v>198</v>
      </c>
      <c r="F141" s="13" t="s">
        <v>375</v>
      </c>
      <c r="G141" s="12" t="s">
        <v>199</v>
      </c>
      <c r="H141" s="12" t="s">
        <v>199</v>
      </c>
      <c r="I141" s="12" t="s">
        <v>13</v>
      </c>
      <c r="J141" s="12"/>
      <c r="K141" s="12" t="s">
        <v>9</v>
      </c>
      <c r="L141" s="13" t="s">
        <v>381</v>
      </c>
      <c r="M141" s="13" t="s">
        <v>381</v>
      </c>
      <c r="N141" s="14">
        <v>2000</v>
      </c>
      <c r="O141" s="13">
        <v>3</v>
      </c>
      <c r="P141" s="14">
        <v>6000</v>
      </c>
      <c r="Q141" s="45">
        <v>1716</v>
      </c>
      <c r="R141" s="49">
        <v>6000</v>
      </c>
      <c r="S141" s="49"/>
      <c r="T141" s="64">
        <f t="shared" si="7"/>
        <v>6000</v>
      </c>
      <c r="U141" s="64"/>
    </row>
    <row r="142" spans="1:21" ht="409" x14ac:dyDescent="0.2">
      <c r="A142" s="11" t="s">
        <v>525</v>
      </c>
      <c r="B142" s="12" t="s">
        <v>200</v>
      </c>
      <c r="C142" s="12">
        <v>58020</v>
      </c>
      <c r="D142" s="12" t="s">
        <v>205</v>
      </c>
      <c r="E142" s="12" t="s">
        <v>206</v>
      </c>
      <c r="F142" s="13" t="s">
        <v>375</v>
      </c>
      <c r="G142" s="12" t="s">
        <v>207</v>
      </c>
      <c r="H142" s="12" t="s">
        <v>570</v>
      </c>
      <c r="I142" s="12" t="s">
        <v>13</v>
      </c>
      <c r="J142" s="12"/>
      <c r="K142" s="12" t="s">
        <v>208</v>
      </c>
      <c r="L142" s="13" t="s">
        <v>381</v>
      </c>
      <c r="M142" s="13" t="s">
        <v>381</v>
      </c>
      <c r="N142" s="14">
        <v>2800</v>
      </c>
      <c r="O142" s="13">
        <v>28</v>
      </c>
      <c r="P142" s="14">
        <v>78400</v>
      </c>
      <c r="Q142" s="45">
        <v>1435</v>
      </c>
      <c r="R142" s="49">
        <v>78400</v>
      </c>
      <c r="S142" s="49"/>
      <c r="T142" s="64">
        <f t="shared" si="7"/>
        <v>78400</v>
      </c>
      <c r="U142" s="64"/>
    </row>
    <row r="143" spans="1:21" ht="409" x14ac:dyDescent="0.2">
      <c r="A143" s="11" t="s">
        <v>526</v>
      </c>
      <c r="B143" s="12" t="s">
        <v>200</v>
      </c>
      <c r="C143" s="12">
        <v>58020</v>
      </c>
      <c r="D143" s="12" t="s">
        <v>205</v>
      </c>
      <c r="E143" s="12" t="s">
        <v>206</v>
      </c>
      <c r="F143" s="13" t="s">
        <v>375</v>
      </c>
      <c r="G143" s="12" t="s">
        <v>209</v>
      </c>
      <c r="H143" s="12" t="s">
        <v>571</v>
      </c>
      <c r="I143" s="12" t="s">
        <v>13</v>
      </c>
      <c r="J143" s="12"/>
      <c r="K143" s="12" t="s">
        <v>208</v>
      </c>
      <c r="L143" s="13" t="s">
        <v>381</v>
      </c>
      <c r="M143" s="13" t="s">
        <v>381</v>
      </c>
      <c r="N143" s="14">
        <v>3300</v>
      </c>
      <c r="O143" s="13">
        <v>20</v>
      </c>
      <c r="P143" s="14">
        <v>66000</v>
      </c>
      <c r="Q143" s="45">
        <v>1435</v>
      </c>
      <c r="R143" s="49">
        <v>66000</v>
      </c>
      <c r="S143" s="49"/>
      <c r="T143" s="64">
        <f t="shared" si="7"/>
        <v>66000</v>
      </c>
      <c r="U143" s="64"/>
    </row>
    <row r="144" spans="1:21" ht="409" x14ac:dyDescent="0.2">
      <c r="A144" s="11" t="s">
        <v>527</v>
      </c>
      <c r="B144" s="12" t="s">
        <v>200</v>
      </c>
      <c r="C144" s="12">
        <v>58020</v>
      </c>
      <c r="D144" s="12" t="s">
        <v>205</v>
      </c>
      <c r="E144" s="12" t="s">
        <v>206</v>
      </c>
      <c r="F144" s="13" t="s">
        <v>375</v>
      </c>
      <c r="G144" s="12" t="s">
        <v>210</v>
      </c>
      <c r="H144" s="12" t="s">
        <v>572</v>
      </c>
      <c r="I144" s="12" t="s">
        <v>13</v>
      </c>
      <c r="J144" s="12"/>
      <c r="K144" s="12" t="s">
        <v>26</v>
      </c>
      <c r="L144" s="13" t="s">
        <v>381</v>
      </c>
      <c r="M144" s="13" t="s">
        <v>381</v>
      </c>
      <c r="N144" s="14">
        <v>2000</v>
      </c>
      <c r="O144" s="13">
        <v>9</v>
      </c>
      <c r="P144" s="14">
        <v>18000</v>
      </c>
      <c r="Q144" s="45">
        <v>1435</v>
      </c>
      <c r="R144" s="49">
        <v>18000</v>
      </c>
      <c r="S144" s="49"/>
      <c r="T144" s="64">
        <f t="shared" si="7"/>
        <v>18000</v>
      </c>
      <c r="U144" s="64"/>
    </row>
    <row r="145" spans="1:21" ht="135" x14ac:dyDescent="0.2">
      <c r="A145" s="11" t="s">
        <v>513</v>
      </c>
      <c r="B145" s="12" t="s">
        <v>68</v>
      </c>
      <c r="C145" s="12">
        <v>57620</v>
      </c>
      <c r="D145" s="12" t="s">
        <v>74</v>
      </c>
      <c r="E145" s="12" t="s">
        <v>75</v>
      </c>
      <c r="F145" s="13" t="s">
        <v>375</v>
      </c>
      <c r="G145" s="12" t="s">
        <v>82</v>
      </c>
      <c r="H145" s="12" t="s">
        <v>83</v>
      </c>
      <c r="I145" s="12" t="s">
        <v>11</v>
      </c>
      <c r="J145" s="12"/>
      <c r="K145" s="12" t="s">
        <v>56</v>
      </c>
      <c r="L145" s="13" t="s">
        <v>381</v>
      </c>
      <c r="M145" s="13" t="s">
        <v>381</v>
      </c>
      <c r="N145" s="14">
        <v>10000</v>
      </c>
      <c r="O145" s="13">
        <v>1</v>
      </c>
      <c r="P145" s="14">
        <v>10000</v>
      </c>
      <c r="Q145" s="45">
        <v>1589</v>
      </c>
      <c r="R145" s="49">
        <v>10000</v>
      </c>
      <c r="S145" s="49"/>
      <c r="T145" s="64">
        <f t="shared" si="7"/>
        <v>10000</v>
      </c>
      <c r="U145" s="64"/>
    </row>
    <row r="146" spans="1:21" ht="180" x14ac:dyDescent="0.2">
      <c r="A146" s="11" t="s">
        <v>514</v>
      </c>
      <c r="B146" s="12" t="s">
        <v>68</v>
      </c>
      <c r="C146" s="12">
        <v>57620</v>
      </c>
      <c r="D146" s="12" t="s">
        <v>74</v>
      </c>
      <c r="E146" s="12" t="s">
        <v>75</v>
      </c>
      <c r="F146" s="13" t="s">
        <v>375</v>
      </c>
      <c r="G146" s="12" t="s">
        <v>84</v>
      </c>
      <c r="H146" s="12" t="s">
        <v>563</v>
      </c>
      <c r="I146" s="12" t="s">
        <v>11</v>
      </c>
      <c r="J146" s="12"/>
      <c r="K146" s="12" t="s">
        <v>81</v>
      </c>
      <c r="L146" s="13" t="s">
        <v>381</v>
      </c>
      <c r="M146" s="13" t="s">
        <v>381</v>
      </c>
      <c r="N146" s="14">
        <v>3000</v>
      </c>
      <c r="O146" s="13">
        <v>1</v>
      </c>
      <c r="P146" s="14">
        <v>3000</v>
      </c>
      <c r="Q146" s="45">
        <v>1589</v>
      </c>
      <c r="R146" s="49">
        <v>3000</v>
      </c>
      <c r="S146" s="49"/>
      <c r="T146" s="64">
        <f t="shared" si="7"/>
        <v>3000</v>
      </c>
      <c r="U146" s="64"/>
    </row>
    <row r="147" spans="1:21" ht="135" x14ac:dyDescent="0.2">
      <c r="A147" s="11" t="s">
        <v>507</v>
      </c>
      <c r="B147" s="12" t="s">
        <v>284</v>
      </c>
      <c r="C147" s="12">
        <v>57700</v>
      </c>
      <c r="D147" s="12" t="s">
        <v>289</v>
      </c>
      <c r="E147" s="12" t="s">
        <v>290</v>
      </c>
      <c r="F147" s="13" t="s">
        <v>375</v>
      </c>
      <c r="G147" s="12" t="s">
        <v>291</v>
      </c>
      <c r="H147" s="12" t="s">
        <v>656</v>
      </c>
      <c r="I147" s="12" t="s">
        <v>11</v>
      </c>
      <c r="J147" s="12"/>
      <c r="K147" s="12" t="s">
        <v>81</v>
      </c>
      <c r="L147" s="13" t="s">
        <v>381</v>
      </c>
      <c r="M147" s="13" t="s">
        <v>381</v>
      </c>
      <c r="N147" s="14">
        <v>1600</v>
      </c>
      <c r="O147" s="13">
        <v>38</v>
      </c>
      <c r="P147" s="14">
        <v>60800</v>
      </c>
      <c r="Q147" s="45">
        <v>1465</v>
      </c>
      <c r="R147" s="49">
        <v>38570</v>
      </c>
      <c r="S147" s="49" t="s">
        <v>669</v>
      </c>
      <c r="T147" s="64">
        <f t="shared" si="7"/>
        <v>38570</v>
      </c>
      <c r="U147" s="64"/>
    </row>
    <row r="148" spans="1:21" ht="90" x14ac:dyDescent="0.2">
      <c r="A148" s="11" t="s">
        <v>512</v>
      </c>
      <c r="B148" s="12" t="s">
        <v>284</v>
      </c>
      <c r="C148" s="12">
        <v>57700</v>
      </c>
      <c r="D148" s="12" t="s">
        <v>289</v>
      </c>
      <c r="E148" s="12" t="s">
        <v>290</v>
      </c>
      <c r="F148" s="13" t="s">
        <v>375</v>
      </c>
      <c r="G148" s="12" t="s">
        <v>299</v>
      </c>
      <c r="H148" s="12" t="s">
        <v>300</v>
      </c>
      <c r="I148" s="12" t="s">
        <v>11</v>
      </c>
      <c r="J148" s="12"/>
      <c r="K148" s="12" t="s">
        <v>81</v>
      </c>
      <c r="L148" s="13" t="s">
        <v>381</v>
      </c>
      <c r="M148" s="13" t="s">
        <v>381</v>
      </c>
      <c r="N148" s="14">
        <v>1600</v>
      </c>
      <c r="O148" s="13">
        <v>30</v>
      </c>
      <c r="P148" s="14">
        <v>48000</v>
      </c>
      <c r="Q148" s="45">
        <v>1470</v>
      </c>
      <c r="R148" s="49">
        <v>30450</v>
      </c>
      <c r="S148" s="49" t="s">
        <v>669</v>
      </c>
      <c r="T148" s="64">
        <f t="shared" si="7"/>
        <v>30450</v>
      </c>
      <c r="U148" s="64"/>
    </row>
    <row r="149" spans="1:21" ht="255" x14ac:dyDescent="0.2">
      <c r="A149" s="11" t="s">
        <v>515</v>
      </c>
      <c r="B149" s="12" t="s">
        <v>153</v>
      </c>
      <c r="C149" s="12">
        <v>57700</v>
      </c>
      <c r="D149" s="12" t="s">
        <v>154</v>
      </c>
      <c r="E149" s="12" t="s">
        <v>155</v>
      </c>
      <c r="F149" s="13" t="s">
        <v>378</v>
      </c>
      <c r="G149" s="12" t="s">
        <v>160</v>
      </c>
      <c r="H149" s="12" t="s">
        <v>161</v>
      </c>
      <c r="I149" s="12" t="s">
        <v>11</v>
      </c>
      <c r="J149" s="12"/>
      <c r="K149" s="12" t="s">
        <v>81</v>
      </c>
      <c r="L149" s="13" t="s">
        <v>381</v>
      </c>
      <c r="M149" s="13" t="s">
        <v>381</v>
      </c>
      <c r="N149" s="14">
        <v>1600</v>
      </c>
      <c r="O149" s="13">
        <v>56</v>
      </c>
      <c r="P149" s="14">
        <v>89600</v>
      </c>
      <c r="Q149" s="45">
        <v>1451</v>
      </c>
      <c r="R149" s="49">
        <v>18270</v>
      </c>
      <c r="S149" s="49" t="s">
        <v>668</v>
      </c>
      <c r="T149" s="64">
        <f t="shared" si="7"/>
        <v>18270</v>
      </c>
      <c r="U149" s="64"/>
    </row>
    <row r="150" spans="1:21" ht="180" x14ac:dyDescent="0.2">
      <c r="A150" s="11" t="s">
        <v>516</v>
      </c>
      <c r="B150" s="12" t="s">
        <v>153</v>
      </c>
      <c r="C150" s="12">
        <v>57700</v>
      </c>
      <c r="D150" s="12" t="s">
        <v>154</v>
      </c>
      <c r="E150" s="12" t="s">
        <v>155</v>
      </c>
      <c r="F150" s="13" t="s">
        <v>378</v>
      </c>
      <c r="G150" s="12" t="s">
        <v>162</v>
      </c>
      <c r="H150" s="12" t="s">
        <v>564</v>
      </c>
      <c r="I150" s="12" t="s">
        <v>11</v>
      </c>
      <c r="J150" s="12"/>
      <c r="K150" s="12" t="s">
        <v>81</v>
      </c>
      <c r="L150" s="13" t="s">
        <v>381</v>
      </c>
      <c r="M150" s="13" t="s">
        <v>381</v>
      </c>
      <c r="N150" s="14">
        <v>1600</v>
      </c>
      <c r="O150" s="13">
        <v>41</v>
      </c>
      <c r="P150" s="14">
        <v>65600</v>
      </c>
      <c r="Q150" s="45">
        <v>1452</v>
      </c>
      <c r="R150" s="49">
        <v>68183</v>
      </c>
      <c r="S150" s="49" t="s">
        <v>669</v>
      </c>
      <c r="T150" s="64">
        <f t="shared" si="7"/>
        <v>68183</v>
      </c>
      <c r="U150" s="64"/>
    </row>
    <row r="151" spans="1:21" s="32" customFormat="1" ht="315" x14ac:dyDescent="0.2">
      <c r="A151" s="11" t="s">
        <v>502</v>
      </c>
      <c r="B151" s="12" t="s">
        <v>171</v>
      </c>
      <c r="C151" s="12">
        <v>57745</v>
      </c>
      <c r="D151" s="12" t="s">
        <v>172</v>
      </c>
      <c r="E151" s="12" t="s">
        <v>173</v>
      </c>
      <c r="F151" s="13" t="s">
        <v>378</v>
      </c>
      <c r="G151" s="12" t="s">
        <v>175</v>
      </c>
      <c r="H151" s="12" t="s">
        <v>562</v>
      </c>
      <c r="I151" s="12" t="s">
        <v>121</v>
      </c>
      <c r="J151" s="12">
        <v>4.3</v>
      </c>
      <c r="K151" s="12" t="s">
        <v>26</v>
      </c>
      <c r="L151" s="13" t="s">
        <v>381</v>
      </c>
      <c r="M151" s="13" t="s">
        <v>381</v>
      </c>
      <c r="N151" s="14">
        <v>1500</v>
      </c>
      <c r="O151" s="13">
        <v>115</v>
      </c>
      <c r="P151" s="14">
        <v>1214</v>
      </c>
      <c r="Q151" s="45">
        <v>1701</v>
      </c>
      <c r="R151" s="49">
        <v>12144</v>
      </c>
      <c r="S151" s="50" t="s">
        <v>670</v>
      </c>
      <c r="T151" s="64">
        <f t="shared" si="7"/>
        <v>12144</v>
      </c>
      <c r="U151" s="125"/>
    </row>
    <row r="152" spans="1:21" s="32" customFormat="1" ht="240.75" customHeight="1" x14ac:dyDescent="0.2">
      <c r="A152" s="11" t="s">
        <v>501</v>
      </c>
      <c r="B152" s="12" t="s">
        <v>171</v>
      </c>
      <c r="C152" s="12">
        <v>57700</v>
      </c>
      <c r="D152" s="12" t="s">
        <v>172</v>
      </c>
      <c r="E152" s="12" t="s">
        <v>173</v>
      </c>
      <c r="F152" s="13" t="s">
        <v>378</v>
      </c>
      <c r="G152" s="12" t="s">
        <v>174</v>
      </c>
      <c r="H152" s="12" t="s">
        <v>561</v>
      </c>
      <c r="I152" s="12" t="s">
        <v>121</v>
      </c>
      <c r="J152" s="12">
        <v>4.3</v>
      </c>
      <c r="K152" s="12" t="s">
        <v>26</v>
      </c>
      <c r="L152" s="13" t="s">
        <v>381</v>
      </c>
      <c r="M152" s="13" t="s">
        <v>381</v>
      </c>
      <c r="N152" s="14">
        <v>1500</v>
      </c>
      <c r="O152" s="13">
        <v>596</v>
      </c>
      <c r="P152" s="14">
        <v>4060</v>
      </c>
      <c r="Q152" s="45">
        <v>1701</v>
      </c>
      <c r="R152" s="49">
        <v>4060</v>
      </c>
      <c r="S152" s="50" t="s">
        <v>671</v>
      </c>
      <c r="T152" s="64">
        <f t="shared" si="7"/>
        <v>4060</v>
      </c>
      <c r="U152" s="125"/>
    </row>
    <row r="153" spans="1:21" ht="113.25" customHeight="1" x14ac:dyDescent="0.2">
      <c r="A153" s="11" t="s">
        <v>522</v>
      </c>
      <c r="B153" s="12" t="s">
        <v>4</v>
      </c>
      <c r="C153" s="12">
        <v>57865</v>
      </c>
      <c r="D153" s="12" t="s">
        <v>5</v>
      </c>
      <c r="E153" s="12" t="s">
        <v>6</v>
      </c>
      <c r="F153" s="13" t="s">
        <v>375</v>
      </c>
      <c r="G153" s="12" t="s">
        <v>12</v>
      </c>
      <c r="H153" s="12" t="s">
        <v>12</v>
      </c>
      <c r="I153" s="12" t="s">
        <v>13</v>
      </c>
      <c r="J153" s="12"/>
      <c r="K153" s="12" t="s">
        <v>9</v>
      </c>
      <c r="L153" s="13" t="s">
        <v>380</v>
      </c>
      <c r="M153" s="13" t="s">
        <v>380</v>
      </c>
      <c r="N153" s="14">
        <v>20000</v>
      </c>
      <c r="O153" s="13">
        <v>1</v>
      </c>
      <c r="P153" s="14">
        <v>20000</v>
      </c>
      <c r="Q153" s="45">
        <v>1703</v>
      </c>
      <c r="R153" s="404">
        <v>50000</v>
      </c>
      <c r="S153" s="404" t="s">
        <v>667</v>
      </c>
      <c r="T153" s="64">
        <f t="shared" si="7"/>
        <v>50000</v>
      </c>
      <c r="U153" s="64"/>
    </row>
    <row r="154" spans="1:21" ht="75" x14ac:dyDescent="0.2">
      <c r="A154" s="11" t="s">
        <v>523</v>
      </c>
      <c r="B154" s="12" t="s">
        <v>4</v>
      </c>
      <c r="C154" s="12">
        <v>58020</v>
      </c>
      <c r="D154" s="12" t="s">
        <v>5</v>
      </c>
      <c r="E154" s="12" t="s">
        <v>6</v>
      </c>
      <c r="F154" s="13" t="s">
        <v>375</v>
      </c>
      <c r="G154" s="12" t="s">
        <v>14</v>
      </c>
      <c r="H154" s="12" t="s">
        <v>14</v>
      </c>
      <c r="I154" s="12" t="s">
        <v>13</v>
      </c>
      <c r="J154" s="12"/>
      <c r="K154" s="12" t="s">
        <v>9</v>
      </c>
      <c r="L154" s="13" t="s">
        <v>380</v>
      </c>
      <c r="M154" s="13" t="s">
        <v>380</v>
      </c>
      <c r="N154" s="14">
        <v>15000</v>
      </c>
      <c r="O154" s="13">
        <v>1</v>
      </c>
      <c r="P154" s="14">
        <v>15000</v>
      </c>
      <c r="Q154" s="45">
        <v>1703</v>
      </c>
      <c r="R154" s="405"/>
      <c r="S154" s="405"/>
      <c r="T154" s="64">
        <f t="shared" si="7"/>
        <v>0</v>
      </c>
      <c r="U154" s="64"/>
    </row>
    <row r="155" spans="1:21" ht="60" x14ac:dyDescent="0.2">
      <c r="A155" s="11" t="s">
        <v>506</v>
      </c>
      <c r="B155" s="12" t="s">
        <v>4</v>
      </c>
      <c r="C155" s="12">
        <v>57700</v>
      </c>
      <c r="D155" s="12" t="s">
        <v>5</v>
      </c>
      <c r="E155" s="12" t="s">
        <v>6</v>
      </c>
      <c r="F155" s="13" t="s">
        <v>375</v>
      </c>
      <c r="G155" s="12" t="s">
        <v>10</v>
      </c>
      <c r="H155" s="12"/>
      <c r="I155" s="12" t="s">
        <v>11</v>
      </c>
      <c r="J155" s="12"/>
      <c r="K155" s="12" t="s">
        <v>9</v>
      </c>
      <c r="L155" s="13" t="s">
        <v>380</v>
      </c>
      <c r="M155" s="13" t="s">
        <v>380</v>
      </c>
      <c r="N155" s="14">
        <v>15000</v>
      </c>
      <c r="O155" s="13">
        <v>1</v>
      </c>
      <c r="P155" s="14">
        <v>15000</v>
      </c>
      <c r="Q155" s="45">
        <v>1703</v>
      </c>
      <c r="R155" s="406"/>
      <c r="S155" s="406"/>
      <c r="T155" s="64">
        <f t="shared" si="7"/>
        <v>0</v>
      </c>
      <c r="U155" s="64"/>
    </row>
    <row r="156" spans="1:21" ht="105" x14ac:dyDescent="0.2">
      <c r="A156" s="11" t="s">
        <v>505</v>
      </c>
      <c r="B156" s="12" t="s">
        <v>312</v>
      </c>
      <c r="C156" s="12">
        <v>51310</v>
      </c>
      <c r="D156" s="12" t="s">
        <v>313</v>
      </c>
      <c r="E156" s="12" t="s">
        <v>314</v>
      </c>
      <c r="F156" s="13" t="s">
        <v>375</v>
      </c>
      <c r="G156" s="12" t="s">
        <v>316</v>
      </c>
      <c r="H156" s="12" t="s">
        <v>317</v>
      </c>
      <c r="I156" s="12" t="s">
        <v>11</v>
      </c>
      <c r="J156" s="12"/>
      <c r="K156" s="12" t="s">
        <v>26</v>
      </c>
      <c r="L156" s="13" t="s">
        <v>381</v>
      </c>
      <c r="M156" s="13" t="s">
        <v>381</v>
      </c>
      <c r="N156" s="14">
        <v>500</v>
      </c>
      <c r="O156" s="13">
        <v>2</v>
      </c>
      <c r="P156" s="14">
        <v>1000</v>
      </c>
      <c r="Q156" s="45">
        <v>1655</v>
      </c>
      <c r="R156" s="49">
        <v>0</v>
      </c>
      <c r="S156" s="49"/>
      <c r="T156" s="64">
        <f t="shared" si="7"/>
        <v>0</v>
      </c>
      <c r="U156" s="64"/>
    </row>
    <row r="157" spans="1:21" ht="90" x14ac:dyDescent="0.2">
      <c r="A157" s="11" t="s">
        <v>511</v>
      </c>
      <c r="B157" s="12" t="s">
        <v>284</v>
      </c>
      <c r="C157" s="12">
        <v>57700</v>
      </c>
      <c r="D157" s="12" t="s">
        <v>289</v>
      </c>
      <c r="E157" s="12" t="s">
        <v>290</v>
      </c>
      <c r="F157" s="13" t="s">
        <v>375</v>
      </c>
      <c r="G157" s="12" t="s">
        <v>297</v>
      </c>
      <c r="H157" s="12" t="s">
        <v>298</v>
      </c>
      <c r="I157" s="12" t="s">
        <v>11</v>
      </c>
      <c r="J157" s="12"/>
      <c r="K157" s="12" t="s">
        <v>81</v>
      </c>
      <c r="L157" s="13" t="s">
        <v>381</v>
      </c>
      <c r="M157" s="13" t="s">
        <v>381</v>
      </c>
      <c r="N157" s="14">
        <v>1600</v>
      </c>
      <c r="O157" s="13">
        <v>20</v>
      </c>
      <c r="P157" s="14">
        <v>32000</v>
      </c>
      <c r="Q157" s="45">
        <v>1469</v>
      </c>
      <c r="R157" s="49">
        <v>0</v>
      </c>
      <c r="S157" s="49"/>
      <c r="T157" s="64">
        <f t="shared" si="7"/>
        <v>0</v>
      </c>
      <c r="U157" s="64"/>
    </row>
    <row r="158" spans="1:21" s="4" customFormat="1" ht="39" customHeight="1" x14ac:dyDescent="0.2">
      <c r="A158" s="418" t="s">
        <v>672</v>
      </c>
      <c r="B158" s="419"/>
      <c r="C158" s="419"/>
      <c r="D158" s="419"/>
      <c r="E158" s="419"/>
      <c r="F158" s="419"/>
      <c r="G158" s="419"/>
      <c r="H158" s="419"/>
      <c r="I158" s="419"/>
      <c r="J158" s="419"/>
      <c r="K158" s="419"/>
      <c r="L158" s="420"/>
      <c r="M158" s="96"/>
      <c r="N158" s="97"/>
      <c r="O158" s="96"/>
      <c r="P158" s="97">
        <f>SUM(P136:P157)</f>
        <v>549569</v>
      </c>
      <c r="Q158" s="115"/>
      <c r="R158" s="100">
        <f>SUM(R136:R157)</f>
        <v>418972</v>
      </c>
      <c r="S158" s="119"/>
      <c r="T158" s="102">
        <f>SUM(T136:T157)</f>
        <v>418972</v>
      </c>
      <c r="U158" s="120"/>
    </row>
    <row r="159" spans="1:21" s="32" customFormat="1" ht="39" customHeight="1" x14ac:dyDescent="0.2">
      <c r="A159" s="407" t="s">
        <v>73</v>
      </c>
      <c r="B159" s="408"/>
      <c r="C159" s="408"/>
      <c r="D159" s="408"/>
      <c r="E159" s="408"/>
      <c r="F159" s="408"/>
      <c r="G159" s="408"/>
      <c r="H159" s="409"/>
      <c r="I159" s="128"/>
      <c r="J159" s="129"/>
      <c r="K159" s="129"/>
      <c r="L159" s="130"/>
      <c r="M159" s="88"/>
      <c r="N159" s="89"/>
      <c r="O159" s="88"/>
      <c r="P159" s="89"/>
      <c r="Q159" s="90"/>
      <c r="R159" s="47">
        <f>R158-418972</f>
        <v>0</v>
      </c>
      <c r="S159" s="47"/>
      <c r="T159" s="44"/>
      <c r="U159" s="44"/>
    </row>
    <row r="160" spans="1:21" ht="180" x14ac:dyDescent="0.2">
      <c r="A160" s="11" t="s">
        <v>493</v>
      </c>
      <c r="B160" s="12" t="s">
        <v>211</v>
      </c>
      <c r="C160" s="12">
        <v>57600</v>
      </c>
      <c r="D160" s="12" t="s">
        <v>242</v>
      </c>
      <c r="E160" s="12" t="s">
        <v>243</v>
      </c>
      <c r="F160" s="13" t="s">
        <v>375</v>
      </c>
      <c r="G160" s="12" t="s">
        <v>244</v>
      </c>
      <c r="H160" s="12" t="s">
        <v>245</v>
      </c>
      <c r="I160" s="12" t="s">
        <v>73</v>
      </c>
      <c r="J160" s="12">
        <v>1.2</v>
      </c>
      <c r="K160" s="12" t="s">
        <v>26</v>
      </c>
      <c r="L160" s="13" t="s">
        <v>381</v>
      </c>
      <c r="M160" s="13" t="s">
        <v>381</v>
      </c>
      <c r="N160" s="14">
        <v>1148</v>
      </c>
      <c r="O160" s="13">
        <v>7</v>
      </c>
      <c r="P160" s="14">
        <v>8036</v>
      </c>
      <c r="Q160" s="45">
        <v>1420</v>
      </c>
      <c r="R160" s="49">
        <v>8036</v>
      </c>
      <c r="S160" s="49"/>
      <c r="T160" s="64">
        <f t="shared" ref="T160:T164" si="8">R160</f>
        <v>8036</v>
      </c>
      <c r="U160" s="64"/>
    </row>
    <row r="161" spans="1:21" ht="209.25" customHeight="1" x14ac:dyDescent="0.2">
      <c r="A161" s="11" t="s">
        <v>528</v>
      </c>
      <c r="B161" s="12" t="s">
        <v>211</v>
      </c>
      <c r="C161" s="12">
        <v>57600</v>
      </c>
      <c r="D161" s="12" t="s">
        <v>242</v>
      </c>
      <c r="E161" s="12" t="s">
        <v>243</v>
      </c>
      <c r="F161" s="13" t="s">
        <v>375</v>
      </c>
      <c r="G161" s="12" t="s">
        <v>665</v>
      </c>
      <c r="H161" s="12" t="s">
        <v>573</v>
      </c>
      <c r="I161" s="12" t="s">
        <v>73</v>
      </c>
      <c r="J161" s="12">
        <v>1.2</v>
      </c>
      <c r="K161" s="12" t="s">
        <v>26</v>
      </c>
      <c r="L161" s="13" t="s">
        <v>380</v>
      </c>
      <c r="M161" s="13" t="s">
        <v>380</v>
      </c>
      <c r="N161" s="14">
        <v>5000</v>
      </c>
      <c r="O161" s="13">
        <v>3</v>
      </c>
      <c r="P161" s="14">
        <v>15000</v>
      </c>
      <c r="Q161" s="45">
        <v>1420</v>
      </c>
      <c r="R161" s="49">
        <v>15000</v>
      </c>
      <c r="S161" s="49"/>
      <c r="T161" s="64">
        <f t="shared" si="8"/>
        <v>15000</v>
      </c>
      <c r="U161" s="64"/>
    </row>
    <row r="162" spans="1:21" ht="195" x14ac:dyDescent="0.2">
      <c r="A162" s="11" t="s">
        <v>529</v>
      </c>
      <c r="B162" s="12" t="s">
        <v>68</v>
      </c>
      <c r="C162" s="12">
        <v>57620</v>
      </c>
      <c r="D162" s="12" t="s">
        <v>74</v>
      </c>
      <c r="E162" s="12" t="s">
        <v>75</v>
      </c>
      <c r="F162" s="13" t="s">
        <v>375</v>
      </c>
      <c r="G162" s="12" t="s">
        <v>85</v>
      </c>
      <c r="H162" s="12" t="s">
        <v>574</v>
      </c>
      <c r="I162" s="12" t="s">
        <v>73</v>
      </c>
      <c r="J162" s="12"/>
      <c r="K162" s="12" t="s">
        <v>86</v>
      </c>
      <c r="L162" s="13" t="s">
        <v>381</v>
      </c>
      <c r="M162" s="13" t="s">
        <v>381</v>
      </c>
      <c r="N162" s="14">
        <v>25000</v>
      </c>
      <c r="O162" s="13">
        <v>1</v>
      </c>
      <c r="P162" s="14">
        <v>25000</v>
      </c>
      <c r="Q162" s="45">
        <v>1589</v>
      </c>
      <c r="R162" s="49">
        <v>18000</v>
      </c>
      <c r="S162" s="50" t="s">
        <v>666</v>
      </c>
      <c r="T162" s="64">
        <f t="shared" si="8"/>
        <v>18000</v>
      </c>
      <c r="U162" s="64"/>
    </row>
    <row r="163" spans="1:21" ht="60" x14ac:dyDescent="0.2">
      <c r="A163" s="11" t="s">
        <v>530</v>
      </c>
      <c r="B163" s="12" t="s">
        <v>68</v>
      </c>
      <c r="C163" s="12">
        <v>53120</v>
      </c>
      <c r="D163" s="12" t="s">
        <v>87</v>
      </c>
      <c r="E163" s="12" t="s">
        <v>88</v>
      </c>
      <c r="F163" s="13" t="s">
        <v>375</v>
      </c>
      <c r="G163" s="12" t="s">
        <v>89</v>
      </c>
      <c r="H163" s="12" t="s">
        <v>89</v>
      </c>
      <c r="I163" s="12" t="s">
        <v>73</v>
      </c>
      <c r="J163" s="12"/>
      <c r="K163" s="12" t="s">
        <v>26</v>
      </c>
      <c r="L163" s="13" t="s">
        <v>381</v>
      </c>
      <c r="M163" s="13" t="s">
        <v>381</v>
      </c>
      <c r="N163" s="14">
        <v>4000</v>
      </c>
      <c r="O163" s="13">
        <v>1</v>
      </c>
      <c r="P163" s="14">
        <v>4000</v>
      </c>
      <c r="Q163" s="45">
        <v>1592</v>
      </c>
      <c r="R163" s="49">
        <v>4000</v>
      </c>
      <c r="S163" s="49"/>
      <c r="T163" s="64">
        <f t="shared" si="8"/>
        <v>4000</v>
      </c>
      <c r="U163" s="64"/>
    </row>
    <row r="164" spans="1:21" ht="105" x14ac:dyDescent="0.2">
      <c r="A164" s="11" t="s">
        <v>531</v>
      </c>
      <c r="B164" s="12" t="s">
        <v>145</v>
      </c>
      <c r="C164" s="12">
        <v>58255</v>
      </c>
      <c r="D164" s="12" t="s">
        <v>146</v>
      </c>
      <c r="E164" s="12" t="s">
        <v>42</v>
      </c>
      <c r="F164" s="13" t="s">
        <v>376</v>
      </c>
      <c r="G164" s="12" t="s">
        <v>147</v>
      </c>
      <c r="H164" s="12" t="s">
        <v>148</v>
      </c>
      <c r="I164" s="12" t="s">
        <v>73</v>
      </c>
      <c r="J164" s="12">
        <v>4.0999999999999996</v>
      </c>
      <c r="K164" s="12" t="s">
        <v>56</v>
      </c>
      <c r="L164" s="13" t="s">
        <v>381</v>
      </c>
      <c r="M164" s="13" t="s">
        <v>381</v>
      </c>
      <c r="N164" s="14">
        <v>30000</v>
      </c>
      <c r="O164" s="13">
        <v>1</v>
      </c>
      <c r="P164" s="14">
        <v>30000</v>
      </c>
      <c r="Q164" s="45">
        <v>1477</v>
      </c>
      <c r="R164" s="49">
        <v>30000</v>
      </c>
      <c r="S164" s="50" t="s">
        <v>808</v>
      </c>
      <c r="T164" s="64">
        <f t="shared" si="8"/>
        <v>30000</v>
      </c>
      <c r="U164" s="64"/>
    </row>
    <row r="165" spans="1:21" ht="34.5" customHeight="1" x14ac:dyDescent="0.2">
      <c r="A165" s="410" t="s">
        <v>577</v>
      </c>
      <c r="B165" s="410"/>
      <c r="C165" s="410"/>
      <c r="D165" s="410"/>
      <c r="E165" s="410"/>
      <c r="F165" s="410"/>
      <c r="G165" s="410"/>
      <c r="H165" s="410"/>
      <c r="I165" s="410"/>
      <c r="J165" s="410"/>
      <c r="K165" s="410"/>
      <c r="L165" s="410"/>
      <c r="M165" s="131"/>
      <c r="N165" s="132"/>
      <c r="O165" s="131"/>
      <c r="P165" s="133">
        <f>SUM(P160:P164)</f>
        <v>82036</v>
      </c>
      <c r="Q165" s="134"/>
      <c r="R165" s="354">
        <f>SUM(R160:R164)</f>
        <v>75036</v>
      </c>
      <c r="S165" s="354"/>
      <c r="T165" s="354">
        <f>SUM(T160:T164)</f>
        <v>75036</v>
      </c>
      <c r="U165" s="355"/>
    </row>
    <row r="166" spans="1:21" ht="32.25" customHeight="1" x14ac:dyDescent="0.2">
      <c r="A166" s="356" t="s">
        <v>677</v>
      </c>
      <c r="B166" s="357"/>
      <c r="C166" s="357"/>
      <c r="D166" s="357"/>
      <c r="E166" s="357"/>
      <c r="F166" s="358"/>
      <c r="G166" s="357"/>
      <c r="H166" s="357"/>
      <c r="I166" s="394"/>
      <c r="J166" s="394"/>
      <c r="K166" s="394"/>
      <c r="L166" s="394"/>
      <c r="M166" s="358"/>
      <c r="N166" s="357"/>
      <c r="O166" s="358"/>
      <c r="P166" s="359">
        <f>P165+P158+P133</f>
        <v>2334785</v>
      </c>
      <c r="Q166" s="357"/>
      <c r="R166" s="359">
        <f>R165+R158+R133</f>
        <v>1455237</v>
      </c>
      <c r="S166" s="135"/>
      <c r="T166" s="359">
        <f>T165+T158+T133</f>
        <v>1455237</v>
      </c>
      <c r="U166" s="136"/>
    </row>
    <row r="168" spans="1:21" x14ac:dyDescent="0.2">
      <c r="A168" t="s">
        <v>678</v>
      </c>
    </row>
    <row r="170" spans="1:21" s="32" customFormat="1" ht="42.75" customHeight="1" x14ac:dyDescent="0.2">
      <c r="A170" s="30" t="s">
        <v>648</v>
      </c>
      <c r="B170" s="22"/>
      <c r="C170" s="22"/>
      <c r="D170" s="22"/>
      <c r="E170" s="22"/>
      <c r="F170" s="22"/>
      <c r="G170" s="22"/>
      <c r="H170" s="22"/>
      <c r="I170" s="22"/>
      <c r="J170" s="22"/>
      <c r="K170" s="22"/>
      <c r="L170" s="22"/>
      <c r="M170" s="22"/>
      <c r="N170" s="22"/>
      <c r="O170" s="22"/>
      <c r="P170" s="360"/>
      <c r="Q170" s="45"/>
      <c r="R170" s="53"/>
      <c r="S170" s="69"/>
      <c r="T170" s="64"/>
      <c r="U170" s="64"/>
    </row>
    <row r="171" spans="1:21" ht="135" x14ac:dyDescent="0.2">
      <c r="A171" s="11" t="s">
        <v>395</v>
      </c>
      <c r="B171" s="12" t="s">
        <v>48</v>
      </c>
      <c r="C171" s="12">
        <v>51310</v>
      </c>
      <c r="D171" s="12" t="s">
        <v>49</v>
      </c>
      <c r="E171" s="12" t="s">
        <v>50</v>
      </c>
      <c r="F171" s="13" t="s">
        <v>375</v>
      </c>
      <c r="G171" s="12" t="s">
        <v>51</v>
      </c>
      <c r="H171" s="12" t="s">
        <v>52</v>
      </c>
      <c r="I171" s="12" t="s">
        <v>8</v>
      </c>
      <c r="J171" s="12" t="s">
        <v>53</v>
      </c>
      <c r="K171" s="12" t="s">
        <v>32</v>
      </c>
      <c r="L171" s="13" t="s">
        <v>380</v>
      </c>
      <c r="M171" s="13" t="s">
        <v>381</v>
      </c>
      <c r="N171" s="14">
        <v>17816</v>
      </c>
      <c r="O171" s="13">
        <v>1</v>
      </c>
      <c r="P171" s="14">
        <v>17816</v>
      </c>
      <c r="Q171" s="45">
        <v>1595</v>
      </c>
      <c r="R171" s="49">
        <v>17920</v>
      </c>
      <c r="S171" s="69" t="s">
        <v>601</v>
      </c>
      <c r="T171" s="64">
        <f t="shared" ref="T171:T176" si="9">R171</f>
        <v>17920</v>
      </c>
      <c r="U171" s="64"/>
    </row>
    <row r="172" spans="1:21" ht="211.5" customHeight="1" x14ac:dyDescent="0.2">
      <c r="A172" s="11" t="s">
        <v>396</v>
      </c>
      <c r="B172" s="12" t="s">
        <v>48</v>
      </c>
      <c r="C172" s="12">
        <v>51310</v>
      </c>
      <c r="D172" s="12" t="s">
        <v>49</v>
      </c>
      <c r="E172" s="12" t="s">
        <v>50</v>
      </c>
      <c r="F172" s="13" t="s">
        <v>375</v>
      </c>
      <c r="G172" s="12" t="s">
        <v>54</v>
      </c>
      <c r="H172" s="12" t="s">
        <v>55</v>
      </c>
      <c r="I172" s="12" t="s">
        <v>8</v>
      </c>
      <c r="J172" s="12"/>
      <c r="K172" s="12" t="s">
        <v>56</v>
      </c>
      <c r="L172" s="13" t="s">
        <v>380</v>
      </c>
      <c r="M172" s="13" t="s">
        <v>381</v>
      </c>
      <c r="N172" s="14">
        <v>11028</v>
      </c>
      <c r="O172" s="13">
        <v>1</v>
      </c>
      <c r="P172" s="14">
        <v>11028</v>
      </c>
      <c r="Q172" s="45">
        <v>1596</v>
      </c>
      <c r="R172" s="49">
        <v>11040</v>
      </c>
      <c r="S172" s="69" t="s">
        <v>601</v>
      </c>
      <c r="T172" s="64">
        <f t="shared" si="9"/>
        <v>11040</v>
      </c>
      <c r="U172" s="64"/>
    </row>
    <row r="173" spans="1:21" s="32" customFormat="1" ht="75" x14ac:dyDescent="0.2">
      <c r="A173" s="11" t="s">
        <v>611</v>
      </c>
      <c r="B173" s="12" t="s">
        <v>275</v>
      </c>
      <c r="C173" s="12">
        <v>55205</v>
      </c>
      <c r="D173" s="12" t="s">
        <v>276</v>
      </c>
      <c r="E173" s="12" t="s">
        <v>277</v>
      </c>
      <c r="F173" s="13" t="s">
        <v>375</v>
      </c>
      <c r="G173" s="12" t="s">
        <v>280</v>
      </c>
      <c r="H173" s="12" t="s">
        <v>602</v>
      </c>
      <c r="I173" s="12" t="s">
        <v>22</v>
      </c>
      <c r="J173" s="12"/>
      <c r="K173" s="12" t="s">
        <v>81</v>
      </c>
      <c r="L173" s="13" t="s">
        <v>380</v>
      </c>
      <c r="M173" s="13" t="s">
        <v>380</v>
      </c>
      <c r="N173" s="14">
        <v>35000</v>
      </c>
      <c r="O173" s="13">
        <v>1</v>
      </c>
      <c r="P173" s="14">
        <v>35000</v>
      </c>
      <c r="Q173" s="45">
        <v>1519</v>
      </c>
      <c r="R173" s="49">
        <v>5000</v>
      </c>
      <c r="S173" s="69" t="s">
        <v>612</v>
      </c>
      <c r="T173" s="64">
        <f t="shared" si="9"/>
        <v>5000</v>
      </c>
      <c r="U173" s="64"/>
    </row>
    <row r="174" spans="1:21" s="32" customFormat="1" ht="195" x14ac:dyDescent="0.2">
      <c r="A174" s="11" t="s">
        <v>610</v>
      </c>
      <c r="B174" s="12" t="s">
        <v>100</v>
      </c>
      <c r="C174" s="12">
        <v>51310</v>
      </c>
      <c r="D174" s="12" t="s">
        <v>107</v>
      </c>
      <c r="E174" s="12" t="s">
        <v>108</v>
      </c>
      <c r="F174" s="13" t="s">
        <v>375</v>
      </c>
      <c r="G174" s="12" t="s">
        <v>540</v>
      </c>
      <c r="H174" s="12" t="s">
        <v>109</v>
      </c>
      <c r="I174" s="12" t="s">
        <v>8</v>
      </c>
      <c r="J174" s="12"/>
      <c r="K174" s="12" t="s">
        <v>26</v>
      </c>
      <c r="L174" s="13" t="s">
        <v>380</v>
      </c>
      <c r="M174" s="13" t="s">
        <v>381</v>
      </c>
      <c r="N174" s="14">
        <v>11000</v>
      </c>
      <c r="O174" s="13">
        <v>3</v>
      </c>
      <c r="P174" s="14">
        <v>33000</v>
      </c>
      <c r="Q174" s="45">
        <v>1498</v>
      </c>
      <c r="R174" s="49">
        <v>6000</v>
      </c>
      <c r="S174" s="69" t="s">
        <v>613</v>
      </c>
      <c r="T174" s="64">
        <f t="shared" si="9"/>
        <v>6000</v>
      </c>
      <c r="U174" s="64"/>
    </row>
    <row r="175" spans="1:21" s="32" customFormat="1" ht="150" x14ac:dyDescent="0.2">
      <c r="A175" s="11" t="s">
        <v>410</v>
      </c>
      <c r="B175" s="12" t="s">
        <v>182</v>
      </c>
      <c r="C175" s="12">
        <v>51316</v>
      </c>
      <c r="D175" s="12" t="s">
        <v>183</v>
      </c>
      <c r="E175" s="12" t="s">
        <v>184</v>
      </c>
      <c r="F175" s="13" t="s">
        <v>375</v>
      </c>
      <c r="G175" s="12" t="s">
        <v>187</v>
      </c>
      <c r="H175" s="12" t="s">
        <v>188</v>
      </c>
      <c r="I175" s="12" t="s">
        <v>8</v>
      </c>
      <c r="J175" s="12" t="s">
        <v>189</v>
      </c>
      <c r="K175" s="12" t="s">
        <v>26</v>
      </c>
      <c r="L175" s="13" t="s">
        <v>380</v>
      </c>
      <c r="M175" s="13" t="s">
        <v>380</v>
      </c>
      <c r="N175" s="14">
        <v>1200</v>
      </c>
      <c r="O175" s="13">
        <v>1</v>
      </c>
      <c r="P175" s="14">
        <v>1200</v>
      </c>
      <c r="Q175" s="45">
        <v>1571</v>
      </c>
      <c r="R175" s="49">
        <v>1200</v>
      </c>
      <c r="S175" s="69" t="s">
        <v>605</v>
      </c>
      <c r="T175" s="64">
        <f t="shared" si="9"/>
        <v>1200</v>
      </c>
      <c r="U175" s="64"/>
    </row>
    <row r="176" spans="1:21" ht="187.5" customHeight="1" x14ac:dyDescent="0.2">
      <c r="A176" s="11" t="s">
        <v>426</v>
      </c>
      <c r="B176" s="12" t="s">
        <v>4</v>
      </c>
      <c r="C176" s="12">
        <v>51310</v>
      </c>
      <c r="D176" s="12" t="s">
        <v>5</v>
      </c>
      <c r="E176" s="12" t="s">
        <v>6</v>
      </c>
      <c r="F176" s="13" t="s">
        <v>375</v>
      </c>
      <c r="G176" s="12" t="s">
        <v>20</v>
      </c>
      <c r="H176" s="12" t="s">
        <v>20</v>
      </c>
      <c r="I176" s="12" t="s">
        <v>8</v>
      </c>
      <c r="J176" s="12"/>
      <c r="K176" s="12" t="s">
        <v>9</v>
      </c>
      <c r="L176" s="13" t="s">
        <v>380</v>
      </c>
      <c r="M176" s="13" t="s">
        <v>381</v>
      </c>
      <c r="N176" s="14">
        <v>51780</v>
      </c>
      <c r="O176" s="13">
        <v>1</v>
      </c>
      <c r="P176" s="27">
        <v>51780</v>
      </c>
      <c r="Q176" s="46">
        <v>1710</v>
      </c>
      <c r="R176" s="49">
        <v>12375</v>
      </c>
      <c r="S176" s="69" t="s">
        <v>605</v>
      </c>
      <c r="T176" s="64">
        <f t="shared" si="9"/>
        <v>12375</v>
      </c>
      <c r="U176" s="64"/>
    </row>
    <row r="177" spans="1:21" s="32" customFormat="1" ht="33" customHeight="1" x14ac:dyDescent="0.2">
      <c r="A177" s="411" t="s">
        <v>649</v>
      </c>
      <c r="B177" s="412"/>
      <c r="C177" s="412"/>
      <c r="D177" s="412"/>
      <c r="E177" s="412"/>
      <c r="F177" s="412"/>
      <c r="G177" s="412"/>
      <c r="H177" s="413"/>
      <c r="I177" s="112"/>
      <c r="J177" s="112"/>
      <c r="K177" s="112"/>
      <c r="L177" s="113"/>
      <c r="M177" s="113"/>
      <c r="N177" s="114"/>
      <c r="O177" s="113"/>
      <c r="P177" s="97">
        <f>SUM(P171:P176)</f>
        <v>149824</v>
      </c>
      <c r="Q177" s="115"/>
      <c r="R177" s="100">
        <f>SUM(R171:R176)</f>
        <v>53535</v>
      </c>
      <c r="S177" s="117"/>
      <c r="T177" s="102">
        <f>SUM(T171:T176)</f>
        <v>53535</v>
      </c>
      <c r="U177" s="102"/>
    </row>
    <row r="178" spans="1:21" s="32" customFormat="1" ht="33" customHeight="1" x14ac:dyDescent="0.2">
      <c r="A178" s="18"/>
      <c r="B178" s="19"/>
      <c r="C178" s="19"/>
      <c r="D178" s="19"/>
      <c r="E178" s="19"/>
      <c r="F178" s="19"/>
      <c r="G178" s="19"/>
      <c r="H178" s="20"/>
      <c r="I178" s="12"/>
      <c r="J178" s="12"/>
      <c r="K178" s="12"/>
      <c r="L178" s="13"/>
      <c r="M178" s="13"/>
      <c r="N178" s="14"/>
      <c r="O178" s="13"/>
      <c r="P178" s="23"/>
      <c r="Q178" s="68"/>
      <c r="R178" s="53"/>
      <c r="S178" s="50"/>
      <c r="T178" s="79"/>
      <c r="U178" s="79"/>
    </row>
    <row r="179" spans="1:21" s="32" customFormat="1" ht="33" customHeight="1" x14ac:dyDescent="0.2">
      <c r="A179" s="30" t="s">
        <v>608</v>
      </c>
      <c r="B179" s="19"/>
      <c r="C179" s="19"/>
      <c r="D179" s="19"/>
      <c r="E179" s="19"/>
      <c r="F179" s="19"/>
      <c r="G179" s="19"/>
      <c r="H179" s="20"/>
      <c r="I179" s="12"/>
      <c r="J179" s="12"/>
      <c r="K179" s="12"/>
      <c r="L179" s="13"/>
      <c r="M179" s="13"/>
      <c r="N179" s="14"/>
      <c r="O179" s="13"/>
      <c r="P179" s="23"/>
      <c r="Q179" s="68"/>
      <c r="R179" s="53"/>
      <c r="S179" s="57"/>
      <c r="T179" s="64"/>
      <c r="U179" s="64"/>
    </row>
    <row r="180" spans="1:21" ht="135" x14ac:dyDescent="0.2">
      <c r="A180" s="11" t="s">
        <v>463</v>
      </c>
      <c r="B180" s="12" t="s">
        <v>113</v>
      </c>
      <c r="C180" s="12">
        <v>53550</v>
      </c>
      <c r="D180" s="12" t="s">
        <v>114</v>
      </c>
      <c r="E180" s="12" t="s">
        <v>115</v>
      </c>
      <c r="F180" s="13" t="s">
        <v>375</v>
      </c>
      <c r="G180" s="12" t="s">
        <v>124</v>
      </c>
      <c r="H180" s="12" t="s">
        <v>125</v>
      </c>
      <c r="I180" s="12" t="s">
        <v>22</v>
      </c>
      <c r="J180" s="12"/>
      <c r="K180" s="12" t="s">
        <v>26</v>
      </c>
      <c r="L180" s="13" t="s">
        <v>381</v>
      </c>
      <c r="M180" s="13" t="s">
        <v>380</v>
      </c>
      <c r="N180" s="14">
        <v>500</v>
      </c>
      <c r="O180" s="13">
        <v>4</v>
      </c>
      <c r="P180" s="14">
        <v>2000</v>
      </c>
      <c r="Q180" s="45">
        <v>1523</v>
      </c>
      <c r="R180" s="49">
        <v>2000</v>
      </c>
      <c r="S180" s="69" t="s">
        <v>608</v>
      </c>
      <c r="T180" s="64">
        <f t="shared" ref="T180:T183" si="10">R180</f>
        <v>2000</v>
      </c>
      <c r="U180" s="64"/>
    </row>
    <row r="181" spans="1:21" ht="105" x14ac:dyDescent="0.2">
      <c r="A181" s="11" t="s">
        <v>462</v>
      </c>
      <c r="B181" s="12" t="s">
        <v>113</v>
      </c>
      <c r="C181" s="12">
        <v>56515</v>
      </c>
      <c r="D181" s="12" t="s">
        <v>114</v>
      </c>
      <c r="E181" s="12" t="s">
        <v>115</v>
      </c>
      <c r="F181" s="13" t="s">
        <v>375</v>
      </c>
      <c r="G181" s="12" t="s">
        <v>116</v>
      </c>
      <c r="H181" s="12" t="s">
        <v>117</v>
      </c>
      <c r="I181" s="12" t="s">
        <v>22</v>
      </c>
      <c r="J181" s="12" t="s">
        <v>118</v>
      </c>
      <c r="K181" s="12" t="s">
        <v>26</v>
      </c>
      <c r="L181" s="13" t="s">
        <v>381</v>
      </c>
      <c r="M181" s="13" t="s">
        <v>380</v>
      </c>
      <c r="N181" s="14">
        <v>750</v>
      </c>
      <c r="O181" s="13">
        <v>1</v>
      </c>
      <c r="P181" s="14">
        <v>750</v>
      </c>
      <c r="Q181" s="45">
        <v>1471</v>
      </c>
      <c r="R181" s="49">
        <v>750</v>
      </c>
      <c r="S181" s="69" t="s">
        <v>608</v>
      </c>
      <c r="T181" s="64">
        <f t="shared" si="10"/>
        <v>750</v>
      </c>
      <c r="U181" s="64"/>
    </row>
    <row r="182" spans="1:21" s="32" customFormat="1" ht="76.5" customHeight="1" x14ac:dyDescent="0.2">
      <c r="A182" s="11" t="s">
        <v>609</v>
      </c>
      <c r="B182" s="12" t="s">
        <v>275</v>
      </c>
      <c r="C182" s="12">
        <v>51129</v>
      </c>
      <c r="D182" s="12" t="s">
        <v>276</v>
      </c>
      <c r="E182" s="12" t="s">
        <v>277</v>
      </c>
      <c r="F182" s="13" t="s">
        <v>375</v>
      </c>
      <c r="G182" s="12" t="s">
        <v>278</v>
      </c>
      <c r="H182" s="12" t="s">
        <v>279</v>
      </c>
      <c r="I182" s="12" t="s">
        <v>8</v>
      </c>
      <c r="J182" s="12"/>
      <c r="K182" s="12" t="s">
        <v>81</v>
      </c>
      <c r="L182" s="13" t="s">
        <v>381</v>
      </c>
      <c r="M182" s="13" t="s">
        <v>380</v>
      </c>
      <c r="N182" s="14">
        <v>5700</v>
      </c>
      <c r="O182" s="13">
        <v>1</v>
      </c>
      <c r="P182" s="14">
        <v>5700</v>
      </c>
      <c r="Q182" s="45">
        <v>1518</v>
      </c>
      <c r="R182" s="49">
        <v>3000</v>
      </c>
      <c r="S182" s="69" t="s">
        <v>614</v>
      </c>
      <c r="T182" s="64">
        <f t="shared" si="10"/>
        <v>3000</v>
      </c>
      <c r="U182" s="64"/>
    </row>
    <row r="183" spans="1:21" s="32" customFormat="1" ht="180" x14ac:dyDescent="0.2">
      <c r="A183" s="11" t="s">
        <v>616</v>
      </c>
      <c r="B183" s="12" t="s">
        <v>312</v>
      </c>
      <c r="C183" s="12">
        <v>51310</v>
      </c>
      <c r="D183" s="12" t="s">
        <v>313</v>
      </c>
      <c r="E183" s="12" t="s">
        <v>314</v>
      </c>
      <c r="F183" s="13" t="s">
        <v>375</v>
      </c>
      <c r="G183" s="12" t="s">
        <v>315</v>
      </c>
      <c r="H183" s="12" t="s">
        <v>533</v>
      </c>
      <c r="I183" s="12" t="s">
        <v>8</v>
      </c>
      <c r="J183" s="12"/>
      <c r="K183" s="12" t="s">
        <v>26</v>
      </c>
      <c r="L183" s="13" t="s">
        <v>380</v>
      </c>
      <c r="M183" s="13" t="s">
        <v>380</v>
      </c>
      <c r="N183" s="14">
        <v>60000</v>
      </c>
      <c r="O183" s="13">
        <v>1</v>
      </c>
      <c r="P183" s="27">
        <v>60000</v>
      </c>
      <c r="Q183" s="46">
        <v>1654</v>
      </c>
      <c r="R183" s="49">
        <v>10000</v>
      </c>
      <c r="S183" s="69" t="s">
        <v>617</v>
      </c>
      <c r="T183" s="64">
        <f t="shared" si="10"/>
        <v>10000</v>
      </c>
      <c r="U183" s="64"/>
    </row>
    <row r="184" spans="1:21" s="32" customFormat="1" ht="30" customHeight="1" x14ac:dyDescent="0.2">
      <c r="A184" s="108" t="s">
        <v>628</v>
      </c>
      <c r="B184" s="109"/>
      <c r="C184" s="109"/>
      <c r="D184" s="109"/>
      <c r="E184" s="109"/>
      <c r="F184" s="110"/>
      <c r="G184" s="109"/>
      <c r="H184" s="111"/>
      <c r="I184" s="112"/>
      <c r="J184" s="112"/>
      <c r="K184" s="112"/>
      <c r="L184" s="113"/>
      <c r="M184" s="113"/>
      <c r="N184" s="114"/>
      <c r="O184" s="113"/>
      <c r="P184" s="97">
        <f>SUM(P180:P183)</f>
        <v>68450</v>
      </c>
      <c r="Q184" s="115"/>
      <c r="R184" s="100">
        <f>SUM(R180:R183)</f>
        <v>15750</v>
      </c>
      <c r="S184" s="116"/>
      <c r="T184" s="102">
        <f>SUM(T180:T183)</f>
        <v>15750</v>
      </c>
      <c r="U184" s="102"/>
    </row>
    <row r="185" spans="1:21" s="32" customFormat="1" ht="30" customHeight="1" x14ac:dyDescent="0.2">
      <c r="A185" s="30"/>
      <c r="B185" s="28"/>
      <c r="C185" s="28"/>
      <c r="D185" s="28"/>
      <c r="E185" s="28"/>
      <c r="F185" s="26"/>
      <c r="G185" s="28"/>
      <c r="H185" s="24"/>
      <c r="I185" s="12"/>
      <c r="J185" s="12"/>
      <c r="K185" s="12"/>
      <c r="L185" s="13"/>
      <c r="M185" s="13"/>
      <c r="N185" s="14"/>
      <c r="O185" s="13"/>
      <c r="P185" s="23"/>
      <c r="Q185" s="68"/>
      <c r="R185" s="53"/>
      <c r="S185" s="107"/>
      <c r="T185" s="79"/>
      <c r="U185" s="79"/>
    </row>
    <row r="186" spans="1:21" s="32" customFormat="1" ht="33.75" hidden="1" customHeight="1" x14ac:dyDescent="0.2">
      <c r="A186" s="391" t="s">
        <v>67</v>
      </c>
      <c r="B186" s="392"/>
      <c r="C186" s="392"/>
      <c r="D186" s="392"/>
      <c r="E186" s="392"/>
      <c r="F186" s="392"/>
      <c r="G186" s="392"/>
      <c r="H186" s="393"/>
      <c r="I186" s="5"/>
      <c r="J186" s="5"/>
      <c r="K186" s="5"/>
      <c r="L186" s="6"/>
      <c r="M186" s="6"/>
      <c r="N186" s="15"/>
      <c r="O186" s="6"/>
      <c r="P186" s="23"/>
      <c r="Q186" s="68"/>
      <c r="R186" s="53"/>
      <c r="S186" s="54"/>
      <c r="T186" s="79"/>
      <c r="U186" s="79"/>
    </row>
    <row r="187" spans="1:21" ht="120" hidden="1" customHeight="1" x14ac:dyDescent="0.2">
      <c r="A187" s="11" t="s">
        <v>488</v>
      </c>
      <c r="B187" s="12" t="s">
        <v>211</v>
      </c>
      <c r="C187" s="12">
        <v>51320</v>
      </c>
      <c r="D187" s="12" t="s">
        <v>225</v>
      </c>
      <c r="E187" s="12" t="s">
        <v>226</v>
      </c>
      <c r="F187" s="13" t="s">
        <v>375</v>
      </c>
      <c r="G187" s="12" t="s">
        <v>227</v>
      </c>
      <c r="H187" s="12" t="s">
        <v>557</v>
      </c>
      <c r="I187" s="12" t="s">
        <v>67</v>
      </c>
      <c r="J187" s="12" t="s">
        <v>228</v>
      </c>
      <c r="K187" s="12" t="s">
        <v>26</v>
      </c>
      <c r="L187" s="13" t="s">
        <v>380</v>
      </c>
      <c r="M187" s="13" t="s">
        <v>381</v>
      </c>
      <c r="N187" s="14">
        <v>6500</v>
      </c>
      <c r="O187" s="13">
        <v>1</v>
      </c>
      <c r="P187" s="14">
        <v>6500</v>
      </c>
      <c r="Q187" s="45">
        <v>1460</v>
      </c>
      <c r="R187" s="49"/>
      <c r="S187" s="49"/>
      <c r="T187" s="64"/>
      <c r="U187" s="64"/>
    </row>
    <row r="188" spans="1:21" ht="107.25" hidden="1" customHeight="1" x14ac:dyDescent="0.2">
      <c r="A188" s="11" t="s">
        <v>489</v>
      </c>
      <c r="B188" s="12" t="s">
        <v>145</v>
      </c>
      <c r="C188" s="12">
        <v>51320</v>
      </c>
      <c r="D188" s="12" t="s">
        <v>146</v>
      </c>
      <c r="E188" s="12" t="s">
        <v>42</v>
      </c>
      <c r="F188" s="13" t="s">
        <v>376</v>
      </c>
      <c r="G188" s="12" t="s">
        <v>151</v>
      </c>
      <c r="H188" s="12" t="s">
        <v>152</v>
      </c>
      <c r="I188" s="12" t="s">
        <v>67</v>
      </c>
      <c r="J188" s="12">
        <v>4.0999999999999996</v>
      </c>
      <c r="K188" s="12" t="s">
        <v>26</v>
      </c>
      <c r="L188" s="13" t="s">
        <v>380</v>
      </c>
      <c r="M188" s="13" t="s">
        <v>381</v>
      </c>
      <c r="N188" s="14">
        <v>6500</v>
      </c>
      <c r="O188" s="13">
        <v>2</v>
      </c>
      <c r="P188" s="14">
        <v>13000</v>
      </c>
      <c r="Q188" s="45">
        <v>1478</v>
      </c>
      <c r="R188" s="49"/>
      <c r="S188" s="49"/>
      <c r="T188" s="64"/>
      <c r="U188" s="64"/>
    </row>
    <row r="189" spans="1:21" ht="228" hidden="1" customHeight="1" x14ac:dyDescent="0.2">
      <c r="A189" s="11" t="s">
        <v>490</v>
      </c>
      <c r="B189" s="12" t="s">
        <v>126</v>
      </c>
      <c r="C189" s="12">
        <v>51310</v>
      </c>
      <c r="D189" s="12" t="s">
        <v>127</v>
      </c>
      <c r="E189" s="12" t="s">
        <v>128</v>
      </c>
      <c r="F189" s="13" t="s">
        <v>376</v>
      </c>
      <c r="G189" s="12" t="s">
        <v>133</v>
      </c>
      <c r="H189" s="12" t="s">
        <v>134</v>
      </c>
      <c r="I189" s="12" t="s">
        <v>67</v>
      </c>
      <c r="J189" s="12"/>
      <c r="K189" s="12" t="s">
        <v>29</v>
      </c>
      <c r="L189" s="13" t="s">
        <v>381</v>
      </c>
      <c r="M189" s="13" t="s">
        <v>381</v>
      </c>
      <c r="N189" s="14">
        <v>9000</v>
      </c>
      <c r="O189" s="13">
        <v>1</v>
      </c>
      <c r="P189" s="14">
        <v>9000</v>
      </c>
      <c r="Q189" s="45">
        <v>1656</v>
      </c>
      <c r="R189" s="49"/>
      <c r="S189" s="49"/>
      <c r="T189" s="64"/>
      <c r="U189" s="64"/>
    </row>
    <row r="190" spans="1:21" s="32" customFormat="1" ht="180" hidden="1" customHeight="1" x14ac:dyDescent="0.2">
      <c r="A190" s="11" t="s">
        <v>451</v>
      </c>
      <c r="B190" s="12" t="s">
        <v>318</v>
      </c>
      <c r="C190" s="12">
        <v>51320</v>
      </c>
      <c r="D190" s="12" t="s">
        <v>319</v>
      </c>
      <c r="E190" s="12" t="s">
        <v>320</v>
      </c>
      <c r="F190" s="13" t="s">
        <v>377</v>
      </c>
      <c r="G190" s="12" t="s">
        <v>322</v>
      </c>
      <c r="H190" s="12" t="s">
        <v>323</v>
      </c>
      <c r="I190" s="12" t="s">
        <v>8</v>
      </c>
      <c r="J190" s="12"/>
      <c r="K190" s="12" t="s">
        <v>29</v>
      </c>
      <c r="L190" s="13" t="s">
        <v>380</v>
      </c>
      <c r="M190" s="13" t="s">
        <v>381</v>
      </c>
      <c r="N190" s="14">
        <v>9360</v>
      </c>
      <c r="O190" s="13">
        <v>2</v>
      </c>
      <c r="P190" s="14">
        <v>18720</v>
      </c>
      <c r="Q190" s="45">
        <v>1675</v>
      </c>
      <c r="R190" s="49">
        <v>0</v>
      </c>
      <c r="S190" s="49"/>
      <c r="T190" s="64"/>
      <c r="U190" s="64"/>
    </row>
    <row r="191" spans="1:21" ht="409.5" hidden="1" customHeight="1" x14ac:dyDescent="0.2">
      <c r="A191" s="11" t="s">
        <v>491</v>
      </c>
      <c r="B191" s="12" t="s">
        <v>61</v>
      </c>
      <c r="C191" s="12">
        <v>51320</v>
      </c>
      <c r="D191" s="12" t="s">
        <v>62</v>
      </c>
      <c r="E191" s="12" t="s">
        <v>63</v>
      </c>
      <c r="F191" s="13" t="s">
        <v>377</v>
      </c>
      <c r="G191" s="12" t="s">
        <v>66</v>
      </c>
      <c r="H191" s="12" t="s">
        <v>559</v>
      </c>
      <c r="I191" s="12" t="s">
        <v>67</v>
      </c>
      <c r="J191" s="12"/>
      <c r="K191" s="12" t="s">
        <v>32</v>
      </c>
      <c r="L191" s="13" t="s">
        <v>380</v>
      </c>
      <c r="M191" s="13" t="s">
        <v>381</v>
      </c>
      <c r="N191" s="14">
        <v>6500</v>
      </c>
      <c r="O191" s="13">
        <v>2</v>
      </c>
      <c r="P191" s="14">
        <v>13000</v>
      </c>
      <c r="Q191" s="45">
        <v>1540</v>
      </c>
      <c r="R191" s="49"/>
      <c r="S191" s="49"/>
      <c r="T191" s="64"/>
      <c r="U191" s="64"/>
    </row>
    <row r="192" spans="1:21" ht="409.5" hidden="1" customHeight="1" x14ac:dyDescent="0.2">
      <c r="A192" s="11" t="s">
        <v>492</v>
      </c>
      <c r="B192" s="12" t="s">
        <v>255</v>
      </c>
      <c r="C192" s="12">
        <v>51320</v>
      </c>
      <c r="D192" s="12" t="s">
        <v>256</v>
      </c>
      <c r="E192" s="12" t="s">
        <v>257</v>
      </c>
      <c r="F192" s="13" t="s">
        <v>377</v>
      </c>
      <c r="G192" s="12" t="s">
        <v>263</v>
      </c>
      <c r="H192" s="12" t="s">
        <v>560</v>
      </c>
      <c r="I192" s="12" t="s">
        <v>67</v>
      </c>
      <c r="J192" s="12">
        <v>1.3</v>
      </c>
      <c r="K192" s="12" t="s">
        <v>32</v>
      </c>
      <c r="L192" s="13" t="s">
        <v>380</v>
      </c>
      <c r="M192" s="13" t="s">
        <v>381</v>
      </c>
      <c r="N192" s="14">
        <v>6500</v>
      </c>
      <c r="O192" s="13">
        <v>3</v>
      </c>
      <c r="P192" s="14">
        <v>19500</v>
      </c>
      <c r="Q192" s="45">
        <v>1550</v>
      </c>
      <c r="R192" s="49"/>
      <c r="S192" s="49"/>
      <c r="T192" s="64"/>
      <c r="U192" s="64"/>
    </row>
    <row r="193" spans="1:21" s="4" customFormat="1" ht="35.25" hidden="1" customHeight="1" x14ac:dyDescent="0.2">
      <c r="A193" s="418" t="s">
        <v>582</v>
      </c>
      <c r="B193" s="419"/>
      <c r="C193" s="419"/>
      <c r="D193" s="419"/>
      <c r="E193" s="419"/>
      <c r="F193" s="419"/>
      <c r="G193" s="419"/>
      <c r="H193" s="419"/>
      <c r="I193" s="419"/>
      <c r="J193" s="419"/>
      <c r="K193" s="419"/>
      <c r="L193" s="419"/>
      <c r="M193" s="419"/>
      <c r="N193" s="420"/>
      <c r="O193" s="113"/>
      <c r="P193" s="97">
        <f>SUM(P187:P192)</f>
        <v>79720</v>
      </c>
      <c r="Q193" s="118"/>
      <c r="R193" s="119"/>
      <c r="S193" s="119"/>
      <c r="T193" s="97">
        <f>SUM(T187:T192)</f>
        <v>0</v>
      </c>
      <c r="U193" s="120"/>
    </row>
  </sheetData>
  <sortState ref="A138:U149">
    <sortCondition ref="U138:U149"/>
  </sortState>
  <mergeCells count="25">
    <mergeCell ref="A93:L93"/>
    <mergeCell ref="A186:H186"/>
    <mergeCell ref="A193:N193"/>
    <mergeCell ref="A116:H116"/>
    <mergeCell ref="A177:H177"/>
    <mergeCell ref="A113:H113"/>
    <mergeCell ref="I166:L166"/>
    <mergeCell ref="A165:L165"/>
    <mergeCell ref="A159:H159"/>
    <mergeCell ref="A2:P2"/>
    <mergeCell ref="A1:P1"/>
    <mergeCell ref="A133:L133"/>
    <mergeCell ref="A158:L158"/>
    <mergeCell ref="A4:U4"/>
    <mergeCell ref="A115:U115"/>
    <mergeCell ref="R153:R155"/>
    <mergeCell ref="S153:S155"/>
    <mergeCell ref="A135:H135"/>
    <mergeCell ref="R2:S2"/>
    <mergeCell ref="T2:U2"/>
    <mergeCell ref="A5:G5"/>
    <mergeCell ref="A101:H101"/>
    <mergeCell ref="A78:H78"/>
    <mergeCell ref="A79:H79"/>
    <mergeCell ref="A92:H92"/>
  </mergeCells>
  <pageMargins left="0.45" right="0.45" top="0.5" bottom="0.5" header="0.3" footer="0.3"/>
  <pageSetup paperSize="5" scale="65" fitToHeight="0" orientation="landscape" r:id="rId1"/>
  <headerFoot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U12"/>
  <sheetViews>
    <sheetView zoomScale="70" zoomScaleNormal="70" zoomScalePageLayoutView="70" workbookViewId="0">
      <selection sqref="A1:S12"/>
    </sheetView>
  </sheetViews>
  <sheetFormatPr baseColWidth="10" defaultColWidth="8.83203125" defaultRowHeight="15" x14ac:dyDescent="0.2"/>
  <cols>
    <col min="1" max="1" width="10" style="32" bestFit="1" customWidth="1"/>
    <col min="2" max="2" width="13" style="33" customWidth="1"/>
    <col min="3" max="3" width="7.6640625" style="33" hidden="1" customWidth="1"/>
    <col min="4" max="4" width="0" style="33" hidden="1" customWidth="1"/>
    <col min="5" max="5" width="14.6640625" style="33" customWidth="1"/>
    <col min="6" max="6" width="5.33203125" style="38" hidden="1" customWidth="1"/>
    <col min="7" max="7" width="15" style="33" customWidth="1"/>
    <col min="8" max="8" width="55.6640625" style="33" customWidth="1"/>
    <col min="9" max="9" width="13.33203125" style="33" customWidth="1"/>
    <col min="10" max="10" width="6.5" style="33" customWidth="1"/>
    <col min="11" max="11" width="11" style="33" customWidth="1"/>
    <col min="12" max="12" width="6.33203125" style="38" customWidth="1"/>
    <col min="13" max="13" width="5.83203125" style="38" customWidth="1"/>
    <col min="14" max="14" width="11.5" style="33" customWidth="1"/>
    <col min="15" max="15" width="6.6640625" style="38" hidden="1" customWidth="1"/>
    <col min="16" max="16" width="16" style="33" bestFit="1" customWidth="1"/>
    <col min="17" max="17" width="5.5" style="33" hidden="1" customWidth="1"/>
    <col min="18" max="18" width="15.6640625" style="32" bestFit="1" customWidth="1"/>
    <col min="19" max="19" width="22" style="32" customWidth="1"/>
    <col min="20" max="20" width="16.1640625" style="32" hidden="1" customWidth="1"/>
    <col min="21" max="21" width="17.6640625" style="32" hidden="1" customWidth="1"/>
    <col min="22" max="16384" width="8.83203125" style="32"/>
  </cols>
  <sheetData>
    <row r="1" spans="1:21" ht="25" thickBot="1" x14ac:dyDescent="0.25">
      <c r="A1" s="386" t="s">
        <v>575</v>
      </c>
      <c r="B1" s="386"/>
      <c r="C1" s="386"/>
      <c r="D1" s="386"/>
      <c r="E1" s="386"/>
      <c r="F1" s="386"/>
      <c r="G1" s="386"/>
      <c r="H1" s="386"/>
      <c r="I1" s="386"/>
      <c r="J1" s="386"/>
      <c r="K1" s="386"/>
      <c r="L1" s="386"/>
      <c r="M1" s="386"/>
      <c r="N1" s="386"/>
      <c r="O1" s="386"/>
      <c r="P1" s="16"/>
      <c r="Q1" s="16"/>
      <c r="R1" s="387" t="s">
        <v>819</v>
      </c>
      <c r="S1" s="388"/>
      <c r="T1" s="389" t="s">
        <v>584</v>
      </c>
      <c r="U1" s="390"/>
    </row>
    <row r="2" spans="1:21" ht="75.75" customHeight="1" thickBot="1" x14ac:dyDescent="0.25">
      <c r="A2" s="5" t="s">
        <v>382</v>
      </c>
      <c r="B2" s="6" t="s">
        <v>383</v>
      </c>
      <c r="C2" s="7" t="s">
        <v>0</v>
      </c>
      <c r="D2" s="6" t="s">
        <v>384</v>
      </c>
      <c r="E2" s="6" t="s">
        <v>385</v>
      </c>
      <c r="F2" s="8" t="s">
        <v>374</v>
      </c>
      <c r="G2" s="5" t="s">
        <v>386</v>
      </c>
      <c r="H2" s="6" t="s">
        <v>1</v>
      </c>
      <c r="I2" s="6" t="s">
        <v>387</v>
      </c>
      <c r="J2" s="9" t="s">
        <v>388</v>
      </c>
      <c r="K2" s="6" t="s">
        <v>389</v>
      </c>
      <c r="L2" s="9" t="s">
        <v>390</v>
      </c>
      <c r="M2" s="9" t="s">
        <v>391</v>
      </c>
      <c r="N2" s="10" t="s">
        <v>392</v>
      </c>
      <c r="O2" s="8" t="s">
        <v>2</v>
      </c>
      <c r="P2" s="10" t="s">
        <v>393</v>
      </c>
      <c r="Q2" s="73" t="s">
        <v>3</v>
      </c>
      <c r="R2" s="74" t="s">
        <v>585</v>
      </c>
      <c r="S2" s="353" t="s">
        <v>586</v>
      </c>
      <c r="T2" s="60" t="s">
        <v>587</v>
      </c>
      <c r="U2" s="61" t="s">
        <v>586</v>
      </c>
    </row>
    <row r="3" spans="1:21" ht="33.75" customHeight="1" x14ac:dyDescent="0.2">
      <c r="A3" s="391" t="s">
        <v>67</v>
      </c>
      <c r="B3" s="392"/>
      <c r="C3" s="392"/>
      <c r="D3" s="392"/>
      <c r="E3" s="392"/>
      <c r="F3" s="392"/>
      <c r="G3" s="392"/>
      <c r="H3" s="393"/>
      <c r="I3" s="5"/>
      <c r="J3" s="5"/>
      <c r="K3" s="5"/>
      <c r="L3" s="6"/>
      <c r="M3" s="6"/>
      <c r="N3" s="15"/>
      <c r="O3" s="6"/>
      <c r="P3" s="23"/>
      <c r="Q3" s="68"/>
      <c r="R3" s="53"/>
      <c r="S3" s="53"/>
      <c r="T3" s="79"/>
      <c r="U3" s="79"/>
    </row>
    <row r="4" spans="1:21" ht="105.75" customHeight="1" x14ac:dyDescent="0.2">
      <c r="A4" s="11" t="s">
        <v>488</v>
      </c>
      <c r="B4" s="12" t="s">
        <v>211</v>
      </c>
      <c r="C4" s="12">
        <v>51320</v>
      </c>
      <c r="D4" s="12" t="s">
        <v>225</v>
      </c>
      <c r="E4" s="12" t="s">
        <v>226</v>
      </c>
      <c r="F4" s="13" t="s">
        <v>375</v>
      </c>
      <c r="G4" s="12" t="s">
        <v>227</v>
      </c>
      <c r="H4" s="12" t="s">
        <v>557</v>
      </c>
      <c r="I4" s="12" t="s">
        <v>67</v>
      </c>
      <c r="J4" s="12" t="s">
        <v>228</v>
      </c>
      <c r="K4" s="12" t="s">
        <v>26</v>
      </c>
      <c r="L4" s="13" t="s">
        <v>380</v>
      </c>
      <c r="M4" s="13" t="s">
        <v>381</v>
      </c>
      <c r="N4" s="14">
        <v>6500</v>
      </c>
      <c r="O4" s="13">
        <v>1</v>
      </c>
      <c r="P4" s="14">
        <v>6500</v>
      </c>
      <c r="Q4" s="45">
        <v>1460</v>
      </c>
      <c r="R4" s="49"/>
      <c r="S4" s="49"/>
      <c r="T4" s="64"/>
      <c r="U4" s="64"/>
    </row>
    <row r="5" spans="1:21" ht="107.25" customHeight="1" x14ac:dyDescent="0.2">
      <c r="A5" s="11" t="s">
        <v>489</v>
      </c>
      <c r="B5" s="12" t="s">
        <v>145</v>
      </c>
      <c r="C5" s="12">
        <v>51320</v>
      </c>
      <c r="D5" s="12" t="s">
        <v>146</v>
      </c>
      <c r="E5" s="12" t="s">
        <v>42</v>
      </c>
      <c r="F5" s="13" t="s">
        <v>376</v>
      </c>
      <c r="G5" s="12" t="s">
        <v>151</v>
      </c>
      <c r="H5" s="12" t="s">
        <v>152</v>
      </c>
      <c r="I5" s="12" t="s">
        <v>67</v>
      </c>
      <c r="J5" s="12">
        <v>4.0999999999999996</v>
      </c>
      <c r="K5" s="12" t="s">
        <v>26</v>
      </c>
      <c r="L5" s="13" t="s">
        <v>380</v>
      </c>
      <c r="M5" s="13" t="s">
        <v>381</v>
      </c>
      <c r="N5" s="14">
        <v>6500</v>
      </c>
      <c r="O5" s="13">
        <v>2</v>
      </c>
      <c r="P5" s="14">
        <v>13000</v>
      </c>
      <c r="Q5" s="45">
        <v>1478</v>
      </c>
      <c r="R5" s="49"/>
      <c r="S5" s="49"/>
      <c r="T5" s="64"/>
      <c r="U5" s="64"/>
    </row>
    <row r="6" spans="1:21" ht="228" customHeight="1" x14ac:dyDescent="0.2">
      <c r="A6" s="11" t="s">
        <v>490</v>
      </c>
      <c r="B6" s="12" t="s">
        <v>126</v>
      </c>
      <c r="C6" s="12">
        <v>51310</v>
      </c>
      <c r="D6" s="12" t="s">
        <v>127</v>
      </c>
      <c r="E6" s="12" t="s">
        <v>128</v>
      </c>
      <c r="F6" s="13" t="s">
        <v>376</v>
      </c>
      <c r="G6" s="12" t="s">
        <v>133</v>
      </c>
      <c r="H6" s="12" t="s">
        <v>134</v>
      </c>
      <c r="I6" s="12" t="s">
        <v>67</v>
      </c>
      <c r="J6" s="12"/>
      <c r="K6" s="12" t="s">
        <v>29</v>
      </c>
      <c r="L6" s="13" t="s">
        <v>381</v>
      </c>
      <c r="M6" s="13" t="s">
        <v>381</v>
      </c>
      <c r="N6" s="14">
        <v>9000</v>
      </c>
      <c r="O6" s="13">
        <v>1</v>
      </c>
      <c r="P6" s="14">
        <v>9000</v>
      </c>
      <c r="Q6" s="45">
        <v>1656</v>
      </c>
      <c r="R6" s="49"/>
      <c r="S6" s="49"/>
      <c r="T6" s="64"/>
      <c r="U6" s="64"/>
    </row>
    <row r="7" spans="1:21" ht="165" x14ac:dyDescent="0.2">
      <c r="A7" s="11" t="s">
        <v>451</v>
      </c>
      <c r="B7" s="12" t="s">
        <v>318</v>
      </c>
      <c r="C7" s="12">
        <v>51320</v>
      </c>
      <c r="D7" s="12" t="s">
        <v>319</v>
      </c>
      <c r="E7" s="12" t="s">
        <v>320</v>
      </c>
      <c r="F7" s="13" t="s">
        <v>377</v>
      </c>
      <c r="G7" s="12" t="s">
        <v>322</v>
      </c>
      <c r="H7" s="12" t="s">
        <v>323</v>
      </c>
      <c r="I7" s="12" t="s">
        <v>8</v>
      </c>
      <c r="J7" s="12"/>
      <c r="K7" s="12" t="s">
        <v>29</v>
      </c>
      <c r="L7" s="13" t="s">
        <v>380</v>
      </c>
      <c r="M7" s="13" t="s">
        <v>381</v>
      </c>
      <c r="N7" s="14">
        <v>9360</v>
      </c>
      <c r="O7" s="13">
        <v>2</v>
      </c>
      <c r="P7" s="14">
        <v>18720</v>
      </c>
      <c r="Q7" s="45">
        <v>1675</v>
      </c>
      <c r="R7" s="49">
        <v>0</v>
      </c>
      <c r="S7" s="49"/>
      <c r="T7" s="64"/>
      <c r="U7" s="64"/>
    </row>
    <row r="8" spans="1:21" ht="409" x14ac:dyDescent="0.2">
      <c r="A8" s="11" t="s">
        <v>491</v>
      </c>
      <c r="B8" s="12" t="s">
        <v>61</v>
      </c>
      <c r="C8" s="12">
        <v>51320</v>
      </c>
      <c r="D8" s="12" t="s">
        <v>62</v>
      </c>
      <c r="E8" s="12" t="s">
        <v>63</v>
      </c>
      <c r="F8" s="13" t="s">
        <v>377</v>
      </c>
      <c r="G8" s="12" t="s">
        <v>66</v>
      </c>
      <c r="H8" s="12" t="s">
        <v>559</v>
      </c>
      <c r="I8" s="12" t="s">
        <v>67</v>
      </c>
      <c r="J8" s="12"/>
      <c r="K8" s="12" t="s">
        <v>32</v>
      </c>
      <c r="L8" s="13" t="s">
        <v>380</v>
      </c>
      <c r="M8" s="13" t="s">
        <v>381</v>
      </c>
      <c r="N8" s="14">
        <v>6500</v>
      </c>
      <c r="O8" s="13">
        <v>2</v>
      </c>
      <c r="P8" s="14">
        <v>13000</v>
      </c>
      <c r="Q8" s="45">
        <v>1540</v>
      </c>
      <c r="R8" s="49"/>
      <c r="S8" s="49"/>
      <c r="T8" s="64"/>
      <c r="U8" s="64"/>
    </row>
    <row r="9" spans="1:21" ht="409" x14ac:dyDescent="0.2">
      <c r="A9" s="11" t="s">
        <v>492</v>
      </c>
      <c r="B9" s="12" t="s">
        <v>255</v>
      </c>
      <c r="C9" s="12">
        <v>51320</v>
      </c>
      <c r="D9" s="12" t="s">
        <v>256</v>
      </c>
      <c r="E9" s="12" t="s">
        <v>257</v>
      </c>
      <c r="F9" s="13" t="s">
        <v>377</v>
      </c>
      <c r="G9" s="12" t="s">
        <v>263</v>
      </c>
      <c r="H9" s="12" t="s">
        <v>820</v>
      </c>
      <c r="I9" s="12" t="s">
        <v>67</v>
      </c>
      <c r="J9" s="12">
        <v>1.3</v>
      </c>
      <c r="K9" s="12" t="s">
        <v>32</v>
      </c>
      <c r="L9" s="13" t="s">
        <v>380</v>
      </c>
      <c r="M9" s="13" t="s">
        <v>381</v>
      </c>
      <c r="N9" s="14">
        <v>6500</v>
      </c>
      <c r="O9" s="13">
        <v>3</v>
      </c>
      <c r="P9" s="14">
        <v>19500</v>
      </c>
      <c r="Q9" s="45">
        <v>1550</v>
      </c>
      <c r="R9" s="49"/>
      <c r="S9" s="49"/>
      <c r="T9" s="64"/>
      <c r="U9" s="64"/>
    </row>
    <row r="10" spans="1:21" ht="35.25" customHeight="1" x14ac:dyDescent="0.2">
      <c r="A10" s="418" t="s">
        <v>582</v>
      </c>
      <c r="B10" s="419"/>
      <c r="C10" s="419"/>
      <c r="D10" s="419"/>
      <c r="E10" s="419"/>
      <c r="F10" s="419"/>
      <c r="G10" s="419"/>
      <c r="H10" s="419"/>
      <c r="I10" s="419"/>
      <c r="J10" s="419"/>
      <c r="K10" s="419"/>
      <c r="L10" s="419"/>
      <c r="M10" s="419"/>
      <c r="N10" s="420"/>
      <c r="O10" s="113"/>
      <c r="P10" s="97">
        <f>SUM(P4:P9)</f>
        <v>79720</v>
      </c>
      <c r="Q10" s="118"/>
      <c r="R10" s="119"/>
      <c r="S10" s="119"/>
      <c r="T10" s="120"/>
      <c r="U10" s="120"/>
    </row>
    <row r="12" spans="1:21" x14ac:dyDescent="0.2">
      <c r="A12" s="40" t="s">
        <v>818</v>
      </c>
    </row>
  </sheetData>
  <mergeCells count="5">
    <mergeCell ref="A3:H3"/>
    <mergeCell ref="A10:N10"/>
    <mergeCell ref="A1:O1"/>
    <mergeCell ref="R1:S1"/>
    <mergeCell ref="T1:U1"/>
  </mergeCells>
  <pageMargins left="0.45" right="0.45" top="0.5" bottom="0.5" header="0.3" footer="0.3"/>
  <pageSetup paperSize="5" scale="77" firstPageNumber="45" fitToHeight="0" orientation="landscape" useFirstPageNumber="1" r:id="rId1"/>
  <headerFoot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 Summary</vt:lpstr>
      <vt:lpstr>FY18 Budget Planning </vt:lpstr>
      <vt:lpstr>OPERATIONAL</vt:lpstr>
      <vt:lpstr>CAPITAL</vt:lpstr>
      <vt:lpstr>PROP301</vt:lpstr>
      <vt:lpstr>OTHERS - AQUILA HALL</vt:lpstr>
      <vt:lpstr>OTHERS - PUMA PATH PROJ.</vt:lpstr>
      <vt:lpstr>ALL BUDGET REQUESTS</vt:lpstr>
      <vt:lpstr>OTHERS - CWS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Hoang,Nguyen H.</dc:creator>
  <cp:lastModifiedBy>Microsoft Office User</cp:lastModifiedBy>
  <cp:lastPrinted>2017-05-09T01:17:51Z</cp:lastPrinted>
  <dcterms:created xsi:type="dcterms:W3CDTF">2017-01-13T18:34:30Z</dcterms:created>
  <dcterms:modified xsi:type="dcterms:W3CDTF">2017-05-10T12:12:12Z</dcterms:modified>
</cp:coreProperties>
</file>